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Doral Academy of Northern Nevada (DANN)\Charter Development\Amendment Applications\Attachments_Campus Exp\A7_Network Budget\"/>
    </mc:Choice>
  </mc:AlternateContent>
  <bookViews>
    <workbookView xWindow="-50120" yWindow="1640" windowWidth="20880" windowHeight="12290" tabRatio="864" activeTab="8"/>
  </bookViews>
  <sheets>
    <sheet name="FY23" sheetId="10" r:id="rId1"/>
    <sheet name="FY24" sheetId="19" r:id="rId2"/>
    <sheet name="FY25" sheetId="22" r:id="rId3"/>
    <sheet name="FY26" sheetId="24" r:id="rId4"/>
    <sheet name="FY27" sheetId="21" r:id="rId5"/>
    <sheet name="FY28" sheetId="25" r:id="rId6"/>
    <sheet name="5-Year New Campus" sheetId="27" r:id="rId7"/>
    <sheet name="5-Year DANN" sheetId="28" r:id="rId8"/>
    <sheet name="5-Year DANN System" sheetId="26" r:id="rId9"/>
    <sheet name="Funding" sheetId="20" r:id="rId10"/>
    <sheet name="Capital Lease" sheetId="12" r:id="rId11"/>
    <sheet name="Mt. Rose Bond" sheetId="23" r:id="rId12"/>
    <sheet name="Enrollment Tables - New Campus" sheetId="31" r:id="rId13"/>
    <sheet name="Enrollment Tables - System" sheetId="29" r:id="rId14"/>
    <sheet name="Staffing Tables" sheetId="30" r:id="rId15"/>
    <sheet name="Staffing Narrative" sheetId="35" r:id="rId16"/>
    <sheet name="Cash Flow - New Facility FY24" sheetId="33" r:id="rId17"/>
    <sheet name="Cash Flow - System FY23" sheetId="34" r:id="rId18"/>
    <sheet name="Assumptions" sheetId="2" state="hidden" r:id="rId19"/>
  </sheets>
  <definedNames>
    <definedName name="_Toc4075975" localSheetId="14">'Staffing Tables'!$B$47</definedName>
    <definedName name="_Toc4075978" localSheetId="12">'Enrollment Tables - New Campus'!$B$8</definedName>
    <definedName name="_Toc4075978" localSheetId="13">'Enrollment Tables - System'!$B$8</definedName>
    <definedName name="_xlnm.Print_Area" localSheetId="7">'5-Year DANN'!$A$1:$G$221</definedName>
    <definedName name="_xlnm.Print_Area" localSheetId="8">'5-Year DANN System'!$A$1:$G$240</definedName>
    <definedName name="_xlnm.Print_Area" localSheetId="6">'5-Year New Campus'!$A$1:$G$221</definedName>
    <definedName name="_xlnm.Print_Area" localSheetId="16">'Cash Flow - New Facility FY24'!$A$1:$P$104</definedName>
    <definedName name="_xlnm.Print_Area" localSheetId="17">'Cash Flow - System FY23'!$A$1:$P$106</definedName>
    <definedName name="_xlnm.Print_Area" localSheetId="12">'Enrollment Tables - New Campus'!$A$1:$I$74</definedName>
    <definedName name="_xlnm.Print_Area" localSheetId="13">'Enrollment Tables - System'!$A$1:$I$74</definedName>
    <definedName name="_xlnm.Print_Area" localSheetId="0">'FY23'!$A$1:$G$221</definedName>
    <definedName name="_xlnm.Print_Area" localSheetId="14">'Staffing Tables'!$A$1:$I$131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8" l="1"/>
  <c r="G231" i="26" l="1"/>
  <c r="F231" i="26"/>
  <c r="E231" i="26"/>
  <c r="D231" i="26"/>
  <c r="C231" i="26"/>
  <c r="B231" i="26"/>
  <c r="C229" i="26"/>
  <c r="D229" i="26"/>
  <c r="E229" i="26"/>
  <c r="F229" i="26"/>
  <c r="G229" i="26"/>
  <c r="B229" i="26"/>
  <c r="B228" i="26"/>
  <c r="B230" i="26"/>
  <c r="E181" i="19" l="1"/>
  <c r="E77" i="25"/>
  <c r="E77" i="21"/>
  <c r="E77" i="24"/>
  <c r="E77" i="22"/>
  <c r="E77" i="19"/>
  <c r="D98" i="30"/>
  <c r="E98" i="30"/>
  <c r="F98" i="30"/>
  <c r="G98" i="30"/>
  <c r="H98" i="30"/>
  <c r="C98" i="30"/>
  <c r="D77" i="30"/>
  <c r="E77" i="30"/>
  <c r="F77" i="30"/>
  <c r="G77" i="30"/>
  <c r="H77" i="30"/>
  <c r="D76" i="30"/>
  <c r="D97" i="30"/>
  <c r="C76" i="30"/>
  <c r="J153" i="25"/>
  <c r="I152" i="25"/>
  <c r="C152" i="25"/>
  <c r="I152" i="21"/>
  <c r="C152" i="21"/>
  <c r="I152" i="24"/>
  <c r="C152" i="24"/>
  <c r="I152" i="22"/>
  <c r="C152" i="22"/>
  <c r="I152" i="19"/>
  <c r="B168" i="25"/>
  <c r="B167" i="25"/>
  <c r="B168" i="21"/>
  <c r="B167" i="21"/>
  <c r="B168" i="24"/>
  <c r="B167" i="24"/>
  <c r="B168" i="22"/>
  <c r="B167" i="22"/>
  <c r="B168" i="19"/>
  <c r="B167" i="19"/>
  <c r="B193" i="25"/>
  <c r="B194" i="25"/>
  <c r="B195" i="25"/>
  <c r="B196" i="25"/>
  <c r="B197" i="25"/>
  <c r="B192" i="25"/>
  <c r="B193" i="21"/>
  <c r="B194" i="21"/>
  <c r="B195" i="21"/>
  <c r="B196" i="21"/>
  <c r="B197" i="21"/>
  <c r="B192" i="21"/>
  <c r="B193" i="24"/>
  <c r="B194" i="24"/>
  <c r="B195" i="24"/>
  <c r="B196" i="24"/>
  <c r="B197" i="24"/>
  <c r="B192" i="24"/>
  <c r="B193" i="22"/>
  <c r="B194" i="22"/>
  <c r="B195" i="22"/>
  <c r="B196" i="22"/>
  <c r="B197" i="22"/>
  <c r="B192" i="22"/>
  <c r="B193" i="19"/>
  <c r="B194" i="19"/>
  <c r="B195" i="19"/>
  <c r="B196" i="19"/>
  <c r="B197" i="19"/>
  <c r="B192" i="19"/>
  <c r="D153" i="25"/>
  <c r="D153" i="21"/>
  <c r="D153" i="24"/>
  <c r="D153" i="22"/>
  <c r="D153" i="19"/>
  <c r="B200" i="19"/>
  <c r="H198" i="25"/>
  <c r="B198" i="25"/>
  <c r="H198" i="21"/>
  <c r="B198" i="21"/>
  <c r="H198" i="24"/>
  <c r="B198" i="24"/>
  <c r="H198" i="22"/>
  <c r="B198" i="22"/>
  <c r="H198" i="19"/>
  <c r="B198" i="19"/>
  <c r="B177" i="25"/>
  <c r="B178" i="25"/>
  <c r="B176" i="25"/>
  <c r="B177" i="21"/>
  <c r="B178" i="21"/>
  <c r="B176" i="21"/>
  <c r="B177" i="24"/>
  <c r="B178" i="24"/>
  <c r="B176" i="24"/>
  <c r="B177" i="22"/>
  <c r="B178" i="22"/>
  <c r="B176" i="22"/>
  <c r="B177" i="19"/>
  <c r="B178" i="19"/>
  <c r="B176" i="19"/>
  <c r="H159" i="25"/>
  <c r="B159" i="25"/>
  <c r="H159" i="21"/>
  <c r="B159" i="21"/>
  <c r="H159" i="24"/>
  <c r="B159" i="24"/>
  <c r="H159" i="22"/>
  <c r="B159" i="22"/>
  <c r="H159" i="19"/>
  <c r="B159" i="19"/>
  <c r="H157" i="25"/>
  <c r="B157" i="25"/>
  <c r="H157" i="21"/>
  <c r="B157" i="21"/>
  <c r="H157" i="24"/>
  <c r="B157" i="24"/>
  <c r="H157" i="22"/>
  <c r="B157" i="22"/>
  <c r="B157" i="19"/>
  <c r="H140" i="25"/>
  <c r="B140" i="25"/>
  <c r="B140" i="21"/>
  <c r="H140" i="24"/>
  <c r="B140" i="24"/>
  <c r="H140" i="22"/>
  <c r="B140" i="22"/>
  <c r="B140" i="19"/>
  <c r="J148" i="25"/>
  <c r="I148" i="25"/>
  <c r="H148" i="25"/>
  <c r="I147" i="25"/>
  <c r="H147" i="25"/>
  <c r="I146" i="25"/>
  <c r="H146" i="25"/>
  <c r="H145" i="25"/>
  <c r="I144" i="25"/>
  <c r="H144" i="25"/>
  <c r="D148" i="25"/>
  <c r="C148" i="25"/>
  <c r="B148" i="25"/>
  <c r="C147" i="25"/>
  <c r="B147" i="25"/>
  <c r="C146" i="25"/>
  <c r="B146" i="25"/>
  <c r="B145" i="25"/>
  <c r="C144" i="25"/>
  <c r="B144" i="25"/>
  <c r="J148" i="21"/>
  <c r="I148" i="21"/>
  <c r="H148" i="21"/>
  <c r="I147" i="21"/>
  <c r="H147" i="21"/>
  <c r="I146" i="21"/>
  <c r="H146" i="21"/>
  <c r="H145" i="21"/>
  <c r="I144" i="21"/>
  <c r="H144" i="21"/>
  <c r="D148" i="21"/>
  <c r="C148" i="21"/>
  <c r="B148" i="21"/>
  <c r="C147" i="21"/>
  <c r="B147" i="21"/>
  <c r="C146" i="21"/>
  <c r="B146" i="21"/>
  <c r="B145" i="21"/>
  <c r="C144" i="21"/>
  <c r="B144" i="21"/>
  <c r="J148" i="24"/>
  <c r="I148" i="24"/>
  <c r="H148" i="24"/>
  <c r="I147" i="24"/>
  <c r="H147" i="24"/>
  <c r="I146" i="24"/>
  <c r="H146" i="24"/>
  <c r="H145" i="24"/>
  <c r="I144" i="24"/>
  <c r="H144" i="24"/>
  <c r="D148" i="24"/>
  <c r="C148" i="24"/>
  <c r="B148" i="24"/>
  <c r="C147" i="24"/>
  <c r="B147" i="24"/>
  <c r="C146" i="24"/>
  <c r="B146" i="24"/>
  <c r="B145" i="24"/>
  <c r="C144" i="24"/>
  <c r="B144" i="24"/>
  <c r="J148" i="22"/>
  <c r="I148" i="22"/>
  <c r="H148" i="22"/>
  <c r="I147" i="22"/>
  <c r="H147" i="22"/>
  <c r="I146" i="22"/>
  <c r="H146" i="22"/>
  <c r="H145" i="22"/>
  <c r="I144" i="22"/>
  <c r="H144" i="22"/>
  <c r="D148" i="22"/>
  <c r="C148" i="22"/>
  <c r="B148" i="22"/>
  <c r="C147" i="22"/>
  <c r="B147" i="22"/>
  <c r="C146" i="22"/>
  <c r="B146" i="22"/>
  <c r="B145" i="22"/>
  <c r="C144" i="22"/>
  <c r="B144" i="22"/>
  <c r="J148" i="19"/>
  <c r="I148" i="19"/>
  <c r="H148" i="19"/>
  <c r="I147" i="19"/>
  <c r="H147" i="19"/>
  <c r="I146" i="19"/>
  <c r="H146" i="19"/>
  <c r="H145" i="19"/>
  <c r="I144" i="19"/>
  <c r="H144" i="19"/>
  <c r="D148" i="19"/>
  <c r="C148" i="19"/>
  <c r="B148" i="19"/>
  <c r="C147" i="19"/>
  <c r="B147" i="19"/>
  <c r="C146" i="19"/>
  <c r="B146" i="19"/>
  <c r="B145" i="19"/>
  <c r="C144" i="19"/>
  <c r="B144" i="19"/>
  <c r="N18" i="12"/>
  <c r="N19" i="12"/>
  <c r="N20" i="12"/>
  <c r="N21" i="12"/>
  <c r="E127" i="25"/>
  <c r="H197" i="24" l="1"/>
  <c r="D100" i="27"/>
  <c r="E100" i="27"/>
  <c r="F100" i="27"/>
  <c r="G100" i="27"/>
  <c r="C100" i="27"/>
  <c r="B100" i="28"/>
  <c r="I136" i="25"/>
  <c r="J136" i="25"/>
  <c r="K136" i="25"/>
  <c r="H136" i="25"/>
  <c r="C136" i="25"/>
  <c r="D136" i="25"/>
  <c r="E136" i="25"/>
  <c r="B136" i="25"/>
  <c r="I132" i="25"/>
  <c r="J132" i="25"/>
  <c r="K132" i="25"/>
  <c r="H132" i="25"/>
  <c r="C132" i="25"/>
  <c r="D132" i="25"/>
  <c r="B132" i="25"/>
  <c r="I132" i="21"/>
  <c r="J132" i="21"/>
  <c r="K132" i="21"/>
  <c r="H132" i="21"/>
  <c r="C132" i="21"/>
  <c r="D132" i="21"/>
  <c r="E132" i="21"/>
  <c r="B132" i="21"/>
  <c r="I132" i="24"/>
  <c r="J132" i="24"/>
  <c r="K132" i="24"/>
  <c r="H132" i="24"/>
  <c r="C132" i="24"/>
  <c r="D132" i="24"/>
  <c r="E132" i="24"/>
  <c r="B132" i="24"/>
  <c r="I132" i="22"/>
  <c r="J132" i="22"/>
  <c r="K132" i="22"/>
  <c r="H132" i="22"/>
  <c r="C132" i="22"/>
  <c r="D132" i="22"/>
  <c r="E132" i="22"/>
  <c r="B132" i="22"/>
  <c r="I136" i="24"/>
  <c r="J136" i="24"/>
  <c r="K136" i="24"/>
  <c r="H136" i="24"/>
  <c r="C136" i="24"/>
  <c r="D136" i="24"/>
  <c r="E136" i="24"/>
  <c r="B136" i="24"/>
  <c r="I136" i="22"/>
  <c r="J136" i="22"/>
  <c r="K136" i="22"/>
  <c r="H136" i="22"/>
  <c r="C136" i="22"/>
  <c r="D136" i="22"/>
  <c r="E136" i="22"/>
  <c r="B136" i="22"/>
  <c r="I136" i="19"/>
  <c r="J136" i="19"/>
  <c r="K136" i="19"/>
  <c r="H136" i="19"/>
  <c r="C136" i="19"/>
  <c r="D136" i="19"/>
  <c r="E136" i="19"/>
  <c r="B136" i="19"/>
  <c r="C133" i="25"/>
  <c r="D133" i="25"/>
  <c r="E133" i="25"/>
  <c r="B133" i="25"/>
  <c r="C133" i="21"/>
  <c r="D133" i="21"/>
  <c r="E133" i="21"/>
  <c r="B133" i="21"/>
  <c r="C133" i="24"/>
  <c r="D133" i="24"/>
  <c r="E133" i="24"/>
  <c r="B133" i="24"/>
  <c r="C133" i="22"/>
  <c r="D133" i="22"/>
  <c r="E133" i="22"/>
  <c r="B133" i="22"/>
  <c r="C133" i="19"/>
  <c r="D133" i="19"/>
  <c r="E133" i="19"/>
  <c r="B133" i="19"/>
  <c r="I132" i="19"/>
  <c r="J132" i="19"/>
  <c r="K132" i="19"/>
  <c r="H132" i="19"/>
  <c r="C132" i="19"/>
  <c r="D132" i="19"/>
  <c r="E132" i="19"/>
  <c r="B132" i="19"/>
  <c r="B115" i="25"/>
  <c r="D114" i="25"/>
  <c r="C114" i="25"/>
  <c r="B113" i="25"/>
  <c r="C125" i="25"/>
  <c r="D121" i="25"/>
  <c r="B112" i="25"/>
  <c r="E127" i="21"/>
  <c r="E127" i="24"/>
  <c r="C125" i="21"/>
  <c r="D121" i="21"/>
  <c r="B115" i="21"/>
  <c r="D114" i="21"/>
  <c r="C114" i="21"/>
  <c r="B113" i="21"/>
  <c r="B112" i="21"/>
  <c r="C125" i="24"/>
  <c r="D121" i="24"/>
  <c r="B115" i="24"/>
  <c r="D114" i="24"/>
  <c r="C114" i="24"/>
  <c r="B113" i="24"/>
  <c r="B112" i="24"/>
  <c r="E127" i="22"/>
  <c r="C125" i="22"/>
  <c r="D121" i="22"/>
  <c r="B115" i="22"/>
  <c r="D114" i="22"/>
  <c r="C114" i="22"/>
  <c r="B113" i="22"/>
  <c r="B112" i="22"/>
  <c r="E127" i="19"/>
  <c r="C125" i="19"/>
  <c r="D121" i="19"/>
  <c r="B115" i="19"/>
  <c r="D114" i="19"/>
  <c r="C114" i="19"/>
  <c r="B113" i="19"/>
  <c r="B112" i="19"/>
  <c r="D111" i="25"/>
  <c r="B109" i="25"/>
  <c r="C104" i="25"/>
  <c r="C105" i="25"/>
  <c r="C106" i="25"/>
  <c r="C107" i="25"/>
  <c r="C108" i="25"/>
  <c r="B105" i="25"/>
  <c r="B106" i="25"/>
  <c r="B107" i="25"/>
  <c r="B108" i="25"/>
  <c r="B104" i="25"/>
  <c r="D111" i="21"/>
  <c r="B109" i="21"/>
  <c r="B105" i="19"/>
  <c r="B105" i="22" s="1"/>
  <c r="B105" i="24" s="1"/>
  <c r="B105" i="21" s="1"/>
  <c r="C104" i="21"/>
  <c r="C105" i="21"/>
  <c r="C106" i="21"/>
  <c r="C107" i="21"/>
  <c r="C108" i="21"/>
  <c r="B106" i="21"/>
  <c r="B107" i="21"/>
  <c r="B108" i="21"/>
  <c r="B104" i="21"/>
  <c r="D111" i="24"/>
  <c r="B109" i="24"/>
  <c r="C104" i="24"/>
  <c r="C105" i="24"/>
  <c r="C106" i="24"/>
  <c r="C107" i="24"/>
  <c r="C108" i="24"/>
  <c r="B106" i="24"/>
  <c r="B107" i="24"/>
  <c r="B108" i="24"/>
  <c r="B104" i="24"/>
  <c r="D111" i="22"/>
  <c r="B109" i="22"/>
  <c r="C104" i="22"/>
  <c r="C105" i="22"/>
  <c r="C106" i="22"/>
  <c r="C107" i="22"/>
  <c r="C108" i="22"/>
  <c r="B106" i="22"/>
  <c r="B107" i="22"/>
  <c r="B108" i="22"/>
  <c r="B104" i="22"/>
  <c r="C104" i="19"/>
  <c r="C105" i="19"/>
  <c r="C106" i="19"/>
  <c r="C107" i="19"/>
  <c r="C108" i="19"/>
  <c r="B106" i="19"/>
  <c r="B107" i="19"/>
  <c r="B108" i="19"/>
  <c r="B104" i="19"/>
  <c r="H197" i="21" l="1"/>
  <c r="H197" i="25"/>
  <c r="D111" i="19" l="1"/>
  <c r="B109" i="19"/>
  <c r="B14" i="19" l="1"/>
  <c r="B13" i="19"/>
  <c r="B12" i="19"/>
  <c r="B11" i="19"/>
  <c r="B10" i="19"/>
  <c r="B9" i="19"/>
  <c r="B8" i="19"/>
  <c r="B7" i="19"/>
  <c r="B6" i="19"/>
  <c r="B14" i="21"/>
  <c r="B13" i="21"/>
  <c r="B12" i="21"/>
  <c r="B11" i="21"/>
  <c r="B10" i="21"/>
  <c r="B9" i="21"/>
  <c r="B8" i="21"/>
  <c r="B7" i="21"/>
  <c r="B6" i="21"/>
  <c r="C202" i="10"/>
  <c r="C200" i="10"/>
  <c r="C198" i="10"/>
  <c r="C197" i="10"/>
  <c r="C196" i="10"/>
  <c r="C194" i="10"/>
  <c r="C192" i="10"/>
  <c r="F181" i="10"/>
  <c r="C178" i="10"/>
  <c r="C177" i="10"/>
  <c r="C176" i="10"/>
  <c r="C168" i="10"/>
  <c r="C167" i="10"/>
  <c r="D161" i="10"/>
  <c r="C155" i="10"/>
  <c r="C156" i="10"/>
  <c r="C159" i="10"/>
  <c r="E153" i="10"/>
  <c r="E148" i="10"/>
  <c r="C147" i="10"/>
  <c r="C146" i="10"/>
  <c r="C145" i="10"/>
  <c r="C144" i="10"/>
  <c r="C140" i="10"/>
  <c r="G132" i="10"/>
  <c r="F133" i="10"/>
  <c r="E133" i="10"/>
  <c r="D133" i="10"/>
  <c r="C133" i="10"/>
  <c r="F132" i="10"/>
  <c r="E132" i="10"/>
  <c r="D132" i="10"/>
  <c r="C132" i="10"/>
  <c r="F127" i="10"/>
  <c r="D125" i="10"/>
  <c r="E121" i="10"/>
  <c r="E114" i="10"/>
  <c r="D114" i="10"/>
  <c r="C113" i="10"/>
  <c r="C115" i="10"/>
  <c r="C112" i="10"/>
  <c r="E111" i="10"/>
  <c r="C107" i="10"/>
  <c r="C106" i="10"/>
  <c r="C105" i="10"/>
  <c r="C104" i="10"/>
  <c r="D108" i="10"/>
  <c r="C109" i="10"/>
  <c r="C111" i="10"/>
  <c r="C114" i="10"/>
  <c r="E78" i="10"/>
  <c r="F77" i="10"/>
  <c r="D81" i="10"/>
  <c r="D80" i="10"/>
  <c r="D82" i="10"/>
  <c r="E79" i="10"/>
  <c r="C14" i="10"/>
  <c r="C13" i="10"/>
  <c r="C12" i="10"/>
  <c r="C11" i="10"/>
  <c r="C10" i="10"/>
  <c r="C9" i="10"/>
  <c r="C8" i="10"/>
  <c r="C7" i="10"/>
  <c r="C6" i="10"/>
  <c r="K216" i="27" l="1"/>
  <c r="K215" i="27"/>
  <c r="K214" i="27"/>
  <c r="K208" i="27"/>
  <c r="J216" i="27"/>
  <c r="J215" i="27"/>
  <c r="J214" i="27"/>
  <c r="J208" i="27"/>
  <c r="J207" i="27"/>
  <c r="B101" i="34"/>
  <c r="B98" i="34"/>
  <c r="B98" i="33"/>
  <c r="B96" i="33"/>
  <c r="B57" i="33"/>
  <c r="M30" i="25"/>
  <c r="J22" i="25"/>
  <c r="M30" i="21"/>
  <c r="J22" i="21"/>
  <c r="J22" i="24"/>
  <c r="M30" i="24" s="1"/>
  <c r="M30" i="22"/>
  <c r="J22" i="22"/>
  <c r="J22" i="19"/>
  <c r="M30" i="19" s="1"/>
  <c r="T196" i="19"/>
  <c r="T197" i="19" s="1"/>
  <c r="T22" i="19" l="1"/>
  <c r="H135" i="25" l="1"/>
  <c r="H135" i="21"/>
  <c r="R134" i="25"/>
  <c r="R134" i="21"/>
  <c r="R134" i="24"/>
  <c r="R135" i="24"/>
  <c r="R135" i="22"/>
  <c r="R134" i="19"/>
  <c r="R135" i="19"/>
  <c r="O135" i="22"/>
  <c r="P135" i="22"/>
  <c r="Q135" i="22"/>
  <c r="D47" i="35"/>
  <c r="E47" i="35"/>
  <c r="F47" i="35"/>
  <c r="G47" i="35"/>
  <c r="H47" i="35"/>
  <c r="C47" i="35"/>
  <c r="C32" i="35"/>
  <c r="C42" i="35"/>
  <c r="C39" i="35"/>
  <c r="C40" i="35"/>
  <c r="C38" i="35"/>
  <c r="C37" i="35"/>
  <c r="C36" i="35"/>
  <c r="C35" i="35"/>
  <c r="C34" i="35"/>
  <c r="C33" i="35"/>
  <c r="C31" i="35"/>
  <c r="C30" i="35"/>
  <c r="C29" i="35"/>
  <c r="C28" i="35"/>
  <c r="C27" i="35"/>
  <c r="C26" i="35"/>
  <c r="D25" i="35"/>
  <c r="E25" i="35"/>
  <c r="F25" i="35"/>
  <c r="G25" i="35"/>
  <c r="H25" i="35"/>
  <c r="C25" i="35"/>
  <c r="B14" i="35"/>
  <c r="B16" i="35"/>
  <c r="B17" i="35"/>
  <c r="B18" i="35"/>
  <c r="B13" i="35"/>
  <c r="B5" i="35"/>
  <c r="B6" i="35"/>
  <c r="B8" i="35"/>
  <c r="B4" i="35"/>
  <c r="H3" i="35"/>
  <c r="D3" i="35"/>
  <c r="E3" i="35"/>
  <c r="F3" i="35"/>
  <c r="G3" i="35"/>
  <c r="C3" i="35"/>
  <c r="C41" i="35" l="1"/>
  <c r="C44" i="35" s="1"/>
  <c r="O9" i="34" l="1"/>
  <c r="A1" i="34"/>
  <c r="P101" i="34"/>
  <c r="D100" i="34"/>
  <c r="F98" i="34"/>
  <c r="G98" i="34" s="1"/>
  <c r="H98" i="34" s="1"/>
  <c r="E93" i="34"/>
  <c r="G91" i="34"/>
  <c r="H91" i="34" s="1"/>
  <c r="I91" i="34" s="1"/>
  <c r="D81" i="34"/>
  <c r="D80" i="34"/>
  <c r="G71" i="34"/>
  <c r="D71" i="34" s="1"/>
  <c r="D65" i="34"/>
  <c r="D63" i="34"/>
  <c r="D48" i="34"/>
  <c r="D44" i="34"/>
  <c r="D16" i="34"/>
  <c r="M15" i="34"/>
  <c r="P15" i="34" s="1"/>
  <c r="O10" i="34"/>
  <c r="L10" i="34"/>
  <c r="L9" i="34"/>
  <c r="B1" i="34"/>
  <c r="B1" i="33"/>
  <c r="A1" i="33"/>
  <c r="D7" i="33"/>
  <c r="D10" i="33"/>
  <c r="D11" i="33"/>
  <c r="D12" i="33"/>
  <c r="M14" i="33"/>
  <c r="P14" i="33" s="1"/>
  <c r="D15" i="33"/>
  <c r="F21" i="33"/>
  <c r="E31" i="33"/>
  <c r="E32" i="33"/>
  <c r="E33" i="33"/>
  <c r="E34" i="33"/>
  <c r="E35" i="33"/>
  <c r="E36" i="33"/>
  <c r="F36" i="33"/>
  <c r="G36" i="33"/>
  <c r="H36" i="33" s="1"/>
  <c r="I36" i="33" s="1"/>
  <c r="J36" i="33" s="1"/>
  <c r="K36" i="33" s="1"/>
  <c r="L36" i="33" s="1"/>
  <c r="M36" i="33" s="1"/>
  <c r="N36" i="33" s="1"/>
  <c r="O36" i="33" s="1"/>
  <c r="P36" i="33" s="1"/>
  <c r="D43" i="33"/>
  <c r="D47" i="33"/>
  <c r="E57" i="33"/>
  <c r="D61" i="33"/>
  <c r="D63" i="33"/>
  <c r="D69" i="33"/>
  <c r="G69" i="33"/>
  <c r="D78" i="33"/>
  <c r="D79" i="33"/>
  <c r="G89" i="33"/>
  <c r="H89" i="33" s="1"/>
  <c r="I89" i="33" s="1"/>
  <c r="J89" i="33" s="1"/>
  <c r="D89" i="33" s="1"/>
  <c r="E91" i="33"/>
  <c r="F96" i="33"/>
  <c r="C98" i="33"/>
  <c r="D98" i="33"/>
  <c r="K99" i="33"/>
  <c r="B259" i="27"/>
  <c r="B230" i="27"/>
  <c r="B229" i="27"/>
  <c r="A229" i="27"/>
  <c r="B228" i="27"/>
  <c r="A228" i="27"/>
  <c r="B226" i="27"/>
  <c r="A229" i="26"/>
  <c r="A228" i="26"/>
  <c r="K101" i="34" l="1"/>
  <c r="D101" i="34" s="1"/>
  <c r="C101" i="34" s="1"/>
  <c r="B231" i="27"/>
  <c r="D10" i="34"/>
  <c r="D9" i="34"/>
  <c r="I98" i="34"/>
  <c r="J98" i="34" s="1"/>
  <c r="K98" i="34" s="1"/>
  <c r="L98" i="34" s="1"/>
  <c r="M98" i="34" s="1"/>
  <c r="N98" i="34" s="1"/>
  <c r="O98" i="34" s="1"/>
  <c r="P98" i="34" s="1"/>
  <c r="D91" i="34"/>
  <c r="P99" i="33"/>
  <c r="D99" i="33" s="1"/>
  <c r="C99" i="33" s="1"/>
  <c r="G96" i="33"/>
  <c r="H96" i="33" s="1"/>
  <c r="I96" i="33" s="1"/>
  <c r="J96" i="33" s="1"/>
  <c r="K96" i="33" s="1"/>
  <c r="L96" i="33" s="1"/>
  <c r="M96" i="33" s="1"/>
  <c r="N96" i="33" s="1"/>
  <c r="O96" i="33" s="1"/>
  <c r="P96" i="33" s="1"/>
  <c r="F57" i="33"/>
  <c r="G57" i="33" s="1"/>
  <c r="H57" i="33" s="1"/>
  <c r="I57" i="33" s="1"/>
  <c r="J57" i="33" s="1"/>
  <c r="K57" i="33" s="1"/>
  <c r="L57" i="33" s="1"/>
  <c r="M57" i="33" s="1"/>
  <c r="N57" i="33" s="1"/>
  <c r="O57" i="33" s="1"/>
  <c r="P57" i="33" s="1"/>
  <c r="D21" i="33"/>
  <c r="D36" i="33"/>
  <c r="C36" i="33" s="1"/>
  <c r="F35" i="33"/>
  <c r="G35" i="33" s="1"/>
  <c r="H35" i="33" s="1"/>
  <c r="I35" i="33" s="1"/>
  <c r="J35" i="33" s="1"/>
  <c r="K35" i="33" s="1"/>
  <c r="L35" i="33" s="1"/>
  <c r="M35" i="33" s="1"/>
  <c r="N35" i="33" s="1"/>
  <c r="O35" i="33" s="1"/>
  <c r="P35" i="33" s="1"/>
  <c r="D35" i="33"/>
  <c r="C35" i="33" s="1"/>
  <c r="F33" i="33"/>
  <c r="G33" i="33" s="1"/>
  <c r="H33" i="33" s="1"/>
  <c r="I33" i="33" s="1"/>
  <c r="J33" i="33" s="1"/>
  <c r="K33" i="33" s="1"/>
  <c r="L33" i="33" s="1"/>
  <c r="M33" i="33" s="1"/>
  <c r="N33" i="33" s="1"/>
  <c r="O33" i="33" s="1"/>
  <c r="P33" i="33" s="1"/>
  <c r="F31" i="33"/>
  <c r="G31" i="33" s="1"/>
  <c r="H31" i="33" s="1"/>
  <c r="I31" i="33" s="1"/>
  <c r="J31" i="33" s="1"/>
  <c r="K31" i="33" s="1"/>
  <c r="L31" i="33" s="1"/>
  <c r="M31" i="33" s="1"/>
  <c r="N31" i="33" s="1"/>
  <c r="O31" i="33" s="1"/>
  <c r="P31" i="33" s="1"/>
  <c r="F34" i="33"/>
  <c r="G34" i="33" s="1"/>
  <c r="H34" i="33" s="1"/>
  <c r="I34" i="33" s="1"/>
  <c r="J34" i="33" s="1"/>
  <c r="K34" i="33" s="1"/>
  <c r="L34" i="33" s="1"/>
  <c r="M34" i="33" s="1"/>
  <c r="N34" i="33" s="1"/>
  <c r="O34" i="33" s="1"/>
  <c r="P34" i="33" s="1"/>
  <c r="F32" i="33"/>
  <c r="G32" i="33" s="1"/>
  <c r="H32" i="33" s="1"/>
  <c r="I32" i="33" s="1"/>
  <c r="J32" i="33" s="1"/>
  <c r="K32" i="33" s="1"/>
  <c r="L32" i="33" s="1"/>
  <c r="M32" i="33" s="1"/>
  <c r="N32" i="33" s="1"/>
  <c r="O32" i="33" s="1"/>
  <c r="P32" i="33" s="1"/>
  <c r="G21" i="33"/>
  <c r="H21" i="33" s="1"/>
  <c r="I21" i="33" s="1"/>
  <c r="J21" i="33" s="1"/>
  <c r="K21" i="33" s="1"/>
  <c r="L21" i="33" s="1"/>
  <c r="M21" i="33" s="1"/>
  <c r="N21" i="33" s="1"/>
  <c r="O21" i="33" s="1"/>
  <c r="P21" i="33" s="1"/>
  <c r="D98" i="34" l="1"/>
  <c r="C98" i="34" s="1"/>
  <c r="D31" i="33"/>
  <c r="C31" i="33" s="1"/>
  <c r="D96" i="33"/>
  <c r="C96" i="33" s="1"/>
  <c r="D32" i="33"/>
  <c r="C32" i="33" s="1"/>
  <c r="D33" i="33"/>
  <c r="C33" i="33" s="1"/>
  <c r="D57" i="33"/>
  <c r="C57" i="33" s="1"/>
  <c r="D34" i="33"/>
  <c r="C34" i="33" s="1"/>
  <c r="R137" i="26" l="1"/>
  <c r="R112" i="26"/>
  <c r="R109" i="26"/>
  <c r="R110" i="26" s="1"/>
  <c r="Q137" i="26"/>
  <c r="Q112" i="26"/>
  <c r="Q109" i="26"/>
  <c r="Q110" i="26" s="1"/>
  <c r="N109" i="27"/>
  <c r="N110" i="27"/>
  <c r="Q115" i="26" l="1"/>
  <c r="R114" i="26"/>
  <c r="R115" i="26"/>
  <c r="Q114" i="26"/>
  <c r="H75" i="25" l="1"/>
  <c r="B75" i="25"/>
  <c r="H75" i="21"/>
  <c r="H75" i="24"/>
  <c r="B75" i="24"/>
  <c r="H75" i="22"/>
  <c r="B75" i="22"/>
  <c r="H75" i="19"/>
  <c r="C39" i="31" l="1"/>
  <c r="C40" i="31"/>
  <c r="C63" i="31" s="1"/>
  <c r="C41" i="31"/>
  <c r="C42" i="31"/>
  <c r="C65" i="31" s="1"/>
  <c r="C43" i="31"/>
  <c r="C44" i="31"/>
  <c r="C23" i="31" s="1"/>
  <c r="C45" i="31"/>
  <c r="C46" i="31"/>
  <c r="C69" i="31" s="1"/>
  <c r="C38" i="31"/>
  <c r="C17" i="31" s="1"/>
  <c r="C58" i="31"/>
  <c r="C59" i="31" s="1"/>
  <c r="D58" i="31" s="1"/>
  <c r="D59" i="31" s="1"/>
  <c r="E58" i="31" s="1"/>
  <c r="E59" i="31" s="1"/>
  <c r="F58" i="31" s="1"/>
  <c r="F59" i="31" s="1"/>
  <c r="G58" i="31" s="1"/>
  <c r="G59" i="31" s="1"/>
  <c r="H58" i="31" s="1"/>
  <c r="H59" i="31" s="1"/>
  <c r="C24" i="31"/>
  <c r="C67" i="31"/>
  <c r="C22" i="31"/>
  <c r="C20" i="31"/>
  <c r="C18" i="31"/>
  <c r="C36" i="31"/>
  <c r="D35" i="31" s="1"/>
  <c r="D36" i="31" s="1"/>
  <c r="E35" i="31" s="1"/>
  <c r="E36" i="31" s="1"/>
  <c r="F35" i="31" s="1"/>
  <c r="F36" i="31" s="1"/>
  <c r="G35" i="31" s="1"/>
  <c r="G36" i="31" s="1"/>
  <c r="H35" i="31" s="1"/>
  <c r="H36" i="31" s="1"/>
  <c r="C35" i="31"/>
  <c r="C25" i="31"/>
  <c r="C19" i="31"/>
  <c r="D15" i="31"/>
  <c r="E14" i="31" s="1"/>
  <c r="E15" i="31" s="1"/>
  <c r="F14" i="31" s="1"/>
  <c r="F15" i="31" s="1"/>
  <c r="G14" i="31" s="1"/>
  <c r="G15" i="31" s="1"/>
  <c r="H14" i="31" s="1"/>
  <c r="H15" i="31" s="1"/>
  <c r="C15" i="31"/>
  <c r="D14" i="31"/>
  <c r="A5" i="31"/>
  <c r="C21" i="31" l="1"/>
  <c r="C61" i="31"/>
  <c r="C62" i="31"/>
  <c r="C64" i="31"/>
  <c r="C66" i="31"/>
  <c r="C68" i="31"/>
  <c r="B61" i="26" l="1"/>
  <c r="B62" i="26"/>
  <c r="G45" i="10" l="1"/>
  <c r="B45" i="26" s="1"/>
  <c r="Q63" i="25"/>
  <c r="P63" i="25"/>
  <c r="O63" i="25"/>
  <c r="L63" i="25"/>
  <c r="K63" i="25"/>
  <c r="J63" i="25"/>
  <c r="I63" i="25"/>
  <c r="H63" i="25"/>
  <c r="E63" i="25"/>
  <c r="D63" i="25"/>
  <c r="C63" i="25"/>
  <c r="B63" i="25"/>
  <c r="Q63" i="21"/>
  <c r="P63" i="21"/>
  <c r="O63" i="21"/>
  <c r="L63" i="21"/>
  <c r="K63" i="21"/>
  <c r="J63" i="21"/>
  <c r="I63" i="21"/>
  <c r="H63" i="21"/>
  <c r="E63" i="21"/>
  <c r="D63" i="21"/>
  <c r="C63" i="21"/>
  <c r="B63" i="21"/>
  <c r="Q63" i="24"/>
  <c r="P63" i="24"/>
  <c r="O63" i="24"/>
  <c r="L63" i="24"/>
  <c r="K63" i="24"/>
  <c r="J63" i="24"/>
  <c r="I63" i="24"/>
  <c r="H63" i="24"/>
  <c r="E63" i="24"/>
  <c r="D63" i="24"/>
  <c r="C63" i="24"/>
  <c r="B63" i="24"/>
  <c r="Q63" i="22"/>
  <c r="P63" i="22"/>
  <c r="O63" i="22"/>
  <c r="L63" i="22"/>
  <c r="K63" i="22"/>
  <c r="J63" i="22"/>
  <c r="I63" i="22"/>
  <c r="H63" i="22"/>
  <c r="E63" i="22"/>
  <c r="D63" i="22"/>
  <c r="C63" i="22"/>
  <c r="B63" i="22"/>
  <c r="E63" i="19"/>
  <c r="D63" i="19"/>
  <c r="C63" i="19"/>
  <c r="B63" i="19"/>
  <c r="I63" i="19"/>
  <c r="J63" i="19"/>
  <c r="K63" i="19"/>
  <c r="L63" i="19"/>
  <c r="H63" i="19"/>
  <c r="C36" i="30"/>
  <c r="C44" i="30"/>
  <c r="C43" i="30"/>
  <c r="C42" i="30"/>
  <c r="C41" i="30"/>
  <c r="C40" i="30"/>
  <c r="C39" i="30"/>
  <c r="L43" i="19"/>
  <c r="L44" i="19"/>
  <c r="L45" i="19"/>
  <c r="L46" i="19"/>
  <c r="L47" i="19"/>
  <c r="R45" i="22"/>
  <c r="R46" i="22"/>
  <c r="R47" i="22"/>
  <c r="L44" i="22"/>
  <c r="L45" i="22"/>
  <c r="L46" i="22"/>
  <c r="L47" i="22"/>
  <c r="L48" i="22"/>
  <c r="R45" i="24"/>
  <c r="R46" i="24"/>
  <c r="L44" i="24"/>
  <c r="L45" i="24"/>
  <c r="L46" i="24"/>
  <c r="L47" i="24"/>
  <c r="R45" i="21"/>
  <c r="R46" i="21"/>
  <c r="L44" i="21"/>
  <c r="L45" i="21"/>
  <c r="L46" i="21"/>
  <c r="R45" i="25"/>
  <c r="R46" i="25"/>
  <c r="L45" i="25"/>
  <c r="L46" i="25"/>
  <c r="L47" i="25"/>
  <c r="L48" i="25"/>
  <c r="C38" i="30"/>
  <c r="C37" i="30"/>
  <c r="C33" i="30"/>
  <c r="C31" i="30"/>
  <c r="C29" i="30"/>
  <c r="C35" i="30"/>
  <c r="C28" i="30"/>
  <c r="C27" i="30"/>
  <c r="C6" i="35" l="1"/>
  <c r="A5" i="30"/>
  <c r="C13" i="30"/>
  <c r="D12" i="30" s="1"/>
  <c r="D13" i="30" s="1"/>
  <c r="E12" i="30" s="1"/>
  <c r="E13" i="30" s="1"/>
  <c r="F12" i="30" s="1"/>
  <c r="F13" i="30" s="1"/>
  <c r="G12" i="30" s="1"/>
  <c r="G13" i="30" s="1"/>
  <c r="H12" i="30" s="1"/>
  <c r="H13" i="30" s="1"/>
  <c r="C24" i="30"/>
  <c r="D24" i="30"/>
  <c r="E24" i="30"/>
  <c r="F24" i="30"/>
  <c r="G24" i="30"/>
  <c r="H24" i="30"/>
  <c r="C45" i="30"/>
  <c r="K45" i="30" s="1"/>
  <c r="C52" i="30"/>
  <c r="D52" i="30"/>
  <c r="E52" i="30"/>
  <c r="F52" i="30"/>
  <c r="G52" i="30"/>
  <c r="H52" i="30"/>
  <c r="C64" i="30"/>
  <c r="D64" i="30"/>
  <c r="E64" i="30"/>
  <c r="F64" i="30"/>
  <c r="G64" i="30"/>
  <c r="H64" i="30"/>
  <c r="A5" i="29"/>
  <c r="C15" i="29"/>
  <c r="D14" i="29" s="1"/>
  <c r="D15" i="29" s="1"/>
  <c r="E14" i="29" s="1"/>
  <c r="E15" i="29" s="1"/>
  <c r="F14" i="29" s="1"/>
  <c r="F15" i="29" s="1"/>
  <c r="G14" i="29" s="1"/>
  <c r="G15" i="29" s="1"/>
  <c r="H14" i="29" s="1"/>
  <c r="H15" i="29" s="1"/>
  <c r="C35" i="29"/>
  <c r="C36" i="29" s="1"/>
  <c r="D35" i="29" s="1"/>
  <c r="D36" i="29" s="1"/>
  <c r="E35" i="29" s="1"/>
  <c r="E36" i="29" s="1"/>
  <c r="F35" i="29" s="1"/>
  <c r="F36" i="29" s="1"/>
  <c r="G35" i="29" s="1"/>
  <c r="G36" i="29" s="1"/>
  <c r="H35" i="29" s="1"/>
  <c r="H36" i="29" s="1"/>
  <c r="C58" i="29"/>
  <c r="C59" i="29" s="1"/>
  <c r="D58" i="29" s="1"/>
  <c r="D59" i="29" s="1"/>
  <c r="E58" i="29" s="1"/>
  <c r="E59" i="29" s="1"/>
  <c r="F58" i="29" s="1"/>
  <c r="F59" i="29" s="1"/>
  <c r="G58" i="29" s="1"/>
  <c r="G59" i="29" s="1"/>
  <c r="H58" i="29" s="1"/>
  <c r="H59" i="29" s="1"/>
  <c r="E127" i="30" l="1"/>
  <c r="C127" i="30"/>
  <c r="G127" i="30"/>
  <c r="F127" i="30"/>
  <c r="H127" i="30" l="1"/>
  <c r="I23" i="25" l="1"/>
  <c r="I26" i="25" s="1"/>
  <c r="H11" i="25"/>
  <c r="H11" i="21"/>
  <c r="I23" i="21"/>
  <c r="I26" i="21" s="1"/>
  <c r="H105" i="24"/>
  <c r="I23" i="24"/>
  <c r="I26" i="24" s="1"/>
  <c r="H11" i="24"/>
  <c r="J43" i="12"/>
  <c r="J42" i="12"/>
  <c r="J41" i="12"/>
  <c r="J40" i="12"/>
  <c r="J39" i="12"/>
  <c r="H11" i="22"/>
  <c r="I26" i="22"/>
  <c r="I23" i="22"/>
  <c r="H11" i="19"/>
  <c r="H10" i="19"/>
  <c r="H9" i="19"/>
  <c r="B74" i="28"/>
  <c r="B102" i="28"/>
  <c r="B180" i="28"/>
  <c r="B191" i="28" s="1"/>
  <c r="B151" i="28"/>
  <c r="B166" i="28" s="1"/>
  <c r="B139" i="28"/>
  <c r="B118" i="28"/>
  <c r="B209" i="28"/>
  <c r="B210" i="28"/>
  <c r="B211" i="28"/>
  <c r="B212" i="28"/>
  <c r="B213" i="28"/>
  <c r="B214" i="28"/>
  <c r="C214" i="28"/>
  <c r="D214" i="28"/>
  <c r="E214" i="28"/>
  <c r="F214" i="28"/>
  <c r="G214" i="28"/>
  <c r="B215" i="28"/>
  <c r="C215" i="28"/>
  <c r="D215" i="28"/>
  <c r="E215" i="28"/>
  <c r="F215" i="28"/>
  <c r="G215" i="28"/>
  <c r="C199" i="28"/>
  <c r="D199" i="28"/>
  <c r="E199" i="28"/>
  <c r="F199" i="28"/>
  <c r="G199" i="28"/>
  <c r="D200" i="28"/>
  <c r="E200" i="28"/>
  <c r="F200" i="28"/>
  <c r="G200" i="28"/>
  <c r="C201" i="28"/>
  <c r="D201" i="28"/>
  <c r="E201" i="28"/>
  <c r="F201" i="28"/>
  <c r="G201" i="28"/>
  <c r="C202" i="28"/>
  <c r="D202" i="28"/>
  <c r="E202" i="28"/>
  <c r="F202" i="28"/>
  <c r="G202" i="28"/>
  <c r="C184" i="28"/>
  <c r="D184" i="28"/>
  <c r="E184" i="28"/>
  <c r="F184" i="28"/>
  <c r="G184" i="28"/>
  <c r="C185" i="28"/>
  <c r="D185" i="28"/>
  <c r="E185" i="28"/>
  <c r="F185" i="28"/>
  <c r="G185" i="28"/>
  <c r="G190" i="28" s="1"/>
  <c r="B186" i="28"/>
  <c r="C186" i="28"/>
  <c r="D186" i="28"/>
  <c r="E186" i="28"/>
  <c r="F186" i="28"/>
  <c r="G186" i="28"/>
  <c r="B187" i="28"/>
  <c r="C187" i="28"/>
  <c r="D187" i="28"/>
  <c r="E187" i="28"/>
  <c r="F187" i="28"/>
  <c r="G187" i="28"/>
  <c r="B188" i="28"/>
  <c r="C188" i="28"/>
  <c r="D188" i="28"/>
  <c r="E188" i="28"/>
  <c r="F188" i="28"/>
  <c r="G188" i="28"/>
  <c r="B189" i="28"/>
  <c r="C189" i="28"/>
  <c r="D189" i="28"/>
  <c r="E189" i="28"/>
  <c r="F189" i="28"/>
  <c r="G189" i="28"/>
  <c r="G183" i="28"/>
  <c r="F183" i="28"/>
  <c r="E183" i="28"/>
  <c r="D183" i="28"/>
  <c r="C183" i="28"/>
  <c r="G182" i="28"/>
  <c r="F182" i="28"/>
  <c r="E182" i="28"/>
  <c r="D182" i="28"/>
  <c r="C182" i="28"/>
  <c r="G181" i="28"/>
  <c r="E181" i="28"/>
  <c r="D181" i="28"/>
  <c r="C169" i="28"/>
  <c r="D169" i="28"/>
  <c r="E169" i="28"/>
  <c r="F169" i="28"/>
  <c r="G169" i="28"/>
  <c r="C171" i="28"/>
  <c r="D171" i="28"/>
  <c r="E171" i="28"/>
  <c r="F171" i="28"/>
  <c r="G171" i="28"/>
  <c r="C172" i="28"/>
  <c r="D172" i="28"/>
  <c r="E172" i="28"/>
  <c r="F172" i="28"/>
  <c r="G172" i="28"/>
  <c r="C173" i="28"/>
  <c r="D173" i="28"/>
  <c r="E173" i="28"/>
  <c r="F173" i="28"/>
  <c r="G173" i="28"/>
  <c r="B154" i="28"/>
  <c r="C154" i="28"/>
  <c r="D154" i="28"/>
  <c r="E154" i="28"/>
  <c r="F154" i="28"/>
  <c r="G154" i="28"/>
  <c r="D155" i="28"/>
  <c r="E155" i="28"/>
  <c r="G155" i="28"/>
  <c r="C158" i="28"/>
  <c r="D158" i="28"/>
  <c r="E158" i="28"/>
  <c r="F158" i="28"/>
  <c r="G158" i="28"/>
  <c r="D160" i="28"/>
  <c r="E160" i="28"/>
  <c r="F160" i="28"/>
  <c r="G160" i="28"/>
  <c r="B164" i="28"/>
  <c r="C164" i="28"/>
  <c r="D164" i="28"/>
  <c r="E164" i="28"/>
  <c r="F164" i="28"/>
  <c r="G164" i="28"/>
  <c r="C141" i="28"/>
  <c r="D141" i="28"/>
  <c r="E141" i="28"/>
  <c r="F141" i="28"/>
  <c r="G141" i="28"/>
  <c r="C143" i="28"/>
  <c r="D143" i="28"/>
  <c r="E143" i="28"/>
  <c r="F143" i="28"/>
  <c r="G143" i="28"/>
  <c r="B149" i="28"/>
  <c r="C149" i="28"/>
  <c r="D149" i="28"/>
  <c r="E149" i="28"/>
  <c r="F149" i="28"/>
  <c r="G149" i="28"/>
  <c r="B134" i="28"/>
  <c r="C134" i="28"/>
  <c r="D134" i="28"/>
  <c r="E134" i="28"/>
  <c r="F134" i="28"/>
  <c r="G134" i="28"/>
  <c r="B135" i="28"/>
  <c r="C135" i="28"/>
  <c r="D135" i="28"/>
  <c r="E135" i="28"/>
  <c r="F135" i="28"/>
  <c r="G135" i="28"/>
  <c r="D136" i="28"/>
  <c r="E136" i="28"/>
  <c r="F136" i="28"/>
  <c r="G136" i="28"/>
  <c r="B120" i="28"/>
  <c r="C120" i="28"/>
  <c r="D120" i="28"/>
  <c r="E120" i="28"/>
  <c r="F120" i="28"/>
  <c r="G120" i="28"/>
  <c r="B122" i="28"/>
  <c r="C122" i="28"/>
  <c r="D122" i="28"/>
  <c r="E122" i="28"/>
  <c r="F122" i="28"/>
  <c r="G122" i="28"/>
  <c r="B123" i="28"/>
  <c r="C123" i="28"/>
  <c r="D123" i="28"/>
  <c r="E123" i="28"/>
  <c r="F123" i="28"/>
  <c r="G123" i="28"/>
  <c r="B124" i="28"/>
  <c r="C124" i="28"/>
  <c r="D124" i="28"/>
  <c r="E124" i="28"/>
  <c r="F124" i="28"/>
  <c r="G124" i="28"/>
  <c r="B126" i="28"/>
  <c r="C126" i="28"/>
  <c r="D126" i="28"/>
  <c r="E126" i="28"/>
  <c r="F126" i="28"/>
  <c r="G126" i="28"/>
  <c r="B128" i="28"/>
  <c r="C128" i="28"/>
  <c r="D128" i="28"/>
  <c r="E128" i="28"/>
  <c r="F128" i="28"/>
  <c r="G128" i="28"/>
  <c r="G119" i="28"/>
  <c r="F119" i="28"/>
  <c r="E119" i="28"/>
  <c r="D119" i="28"/>
  <c r="C119" i="28"/>
  <c r="B119" i="28"/>
  <c r="C110" i="28"/>
  <c r="D110" i="28"/>
  <c r="E110" i="28"/>
  <c r="F110" i="28"/>
  <c r="G110" i="28"/>
  <c r="D116" i="28"/>
  <c r="E116" i="28"/>
  <c r="F116" i="28"/>
  <c r="G116" i="28"/>
  <c r="C89" i="28"/>
  <c r="D89" i="28"/>
  <c r="E89" i="28"/>
  <c r="F89" i="28"/>
  <c r="G89" i="28"/>
  <c r="D91" i="28"/>
  <c r="E91" i="28"/>
  <c r="F91" i="28"/>
  <c r="G91" i="28"/>
  <c r="D92" i="28"/>
  <c r="E92" i="28"/>
  <c r="F92" i="28"/>
  <c r="G92" i="28"/>
  <c r="D93" i="28"/>
  <c r="E93" i="28"/>
  <c r="F93" i="28"/>
  <c r="G93" i="28"/>
  <c r="D94" i="28"/>
  <c r="E94" i="28"/>
  <c r="F94" i="28"/>
  <c r="G94" i="28"/>
  <c r="D95" i="28"/>
  <c r="E95" i="28"/>
  <c r="F95" i="28"/>
  <c r="G95" i="28"/>
  <c r="B96" i="28"/>
  <c r="C96" i="28"/>
  <c r="D96" i="28"/>
  <c r="E96" i="28"/>
  <c r="F96" i="28"/>
  <c r="G96" i="28"/>
  <c r="B97" i="28"/>
  <c r="C97" i="28"/>
  <c r="D97" i="28"/>
  <c r="E97" i="28"/>
  <c r="F97" i="28"/>
  <c r="G97" i="28"/>
  <c r="B98" i="28"/>
  <c r="C98" i="28"/>
  <c r="D98" i="28"/>
  <c r="E98" i="28"/>
  <c r="F98" i="28"/>
  <c r="G98" i="28"/>
  <c r="B99" i="28"/>
  <c r="C99" i="28"/>
  <c r="D99" i="28"/>
  <c r="E99" i="28"/>
  <c r="F99" i="28"/>
  <c r="G99" i="28"/>
  <c r="D78" i="28"/>
  <c r="E78" i="28"/>
  <c r="F78" i="28"/>
  <c r="G78" i="28"/>
  <c r="D79" i="28"/>
  <c r="E79" i="28"/>
  <c r="F79" i="28"/>
  <c r="G79" i="28"/>
  <c r="D80" i="28"/>
  <c r="E80" i="28"/>
  <c r="F80" i="28"/>
  <c r="G80" i="28"/>
  <c r="D81" i="28"/>
  <c r="E81" i="28"/>
  <c r="F81" i="28"/>
  <c r="G81" i="28"/>
  <c r="D82" i="28"/>
  <c r="E82" i="28"/>
  <c r="F82" i="28"/>
  <c r="G82" i="28"/>
  <c r="B83" i="28"/>
  <c r="C83" i="28"/>
  <c r="D83" i="28"/>
  <c r="E83" i="28"/>
  <c r="F83" i="28"/>
  <c r="G83" i="28"/>
  <c r="B84" i="28"/>
  <c r="C84" i="28"/>
  <c r="D84" i="28"/>
  <c r="E84" i="28"/>
  <c r="F84" i="28"/>
  <c r="G84" i="28"/>
  <c r="B85" i="28"/>
  <c r="C85" i="28"/>
  <c r="D85" i="28"/>
  <c r="E85" i="28"/>
  <c r="F85" i="28"/>
  <c r="G85" i="28"/>
  <c r="B86" i="28"/>
  <c r="C86" i="28"/>
  <c r="D86" i="28"/>
  <c r="E86" i="28"/>
  <c r="F86" i="28"/>
  <c r="G86" i="28"/>
  <c r="D43" i="28"/>
  <c r="E43" i="28"/>
  <c r="F43" i="28"/>
  <c r="G43" i="28"/>
  <c r="B45" i="28"/>
  <c r="C45" i="28"/>
  <c r="D45" i="28"/>
  <c r="E45" i="28"/>
  <c r="F45" i="28"/>
  <c r="G45" i="28"/>
  <c r="D46" i="28"/>
  <c r="E46" i="28"/>
  <c r="F46" i="28"/>
  <c r="G46" i="28"/>
  <c r="D47" i="28"/>
  <c r="E47" i="28"/>
  <c r="F47" i="28"/>
  <c r="G47" i="28"/>
  <c r="D48" i="28"/>
  <c r="E48" i="28"/>
  <c r="F48" i="28"/>
  <c r="G48" i="28"/>
  <c r="D49" i="28"/>
  <c r="E49" i="28"/>
  <c r="F49" i="28"/>
  <c r="G49" i="28"/>
  <c r="D50" i="28"/>
  <c r="E50" i="28"/>
  <c r="F50" i="28"/>
  <c r="G50" i="28"/>
  <c r="D51" i="28"/>
  <c r="E51" i="28"/>
  <c r="F51" i="28"/>
  <c r="G51" i="28"/>
  <c r="D52" i="28"/>
  <c r="E52" i="28"/>
  <c r="F52" i="28"/>
  <c r="G52" i="28"/>
  <c r="D53" i="28"/>
  <c r="E53" i="28"/>
  <c r="F53" i="28"/>
  <c r="G53" i="28"/>
  <c r="D54" i="28"/>
  <c r="E54" i="28"/>
  <c r="F54" i="28"/>
  <c r="G54" i="28"/>
  <c r="D55" i="28"/>
  <c r="E55" i="28"/>
  <c r="F55" i="28"/>
  <c r="G55" i="28"/>
  <c r="D56" i="28"/>
  <c r="E56" i="28"/>
  <c r="F56" i="28"/>
  <c r="G56" i="28"/>
  <c r="D57" i="28"/>
  <c r="E57" i="28"/>
  <c r="F57" i="28"/>
  <c r="G57" i="28"/>
  <c r="D58" i="28"/>
  <c r="E58" i="28"/>
  <c r="F58" i="28"/>
  <c r="G58" i="28"/>
  <c r="D59" i="28"/>
  <c r="E59" i="28"/>
  <c r="F59" i="28"/>
  <c r="G59" i="28"/>
  <c r="D60" i="28"/>
  <c r="E60" i="28"/>
  <c r="F60" i="28"/>
  <c r="G60" i="28"/>
  <c r="B61" i="28"/>
  <c r="D61" i="28"/>
  <c r="E61" i="28"/>
  <c r="F61" i="28"/>
  <c r="G61" i="28"/>
  <c r="B62" i="28"/>
  <c r="D62" i="28"/>
  <c r="E62" i="28"/>
  <c r="F62" i="28"/>
  <c r="G62" i="28"/>
  <c r="G42" i="28"/>
  <c r="F42" i="28"/>
  <c r="E42" i="28"/>
  <c r="D42" i="28"/>
  <c r="D30" i="28"/>
  <c r="E30" i="28"/>
  <c r="E39" i="28" s="1"/>
  <c r="E65" i="28" s="1"/>
  <c r="F30" i="28"/>
  <c r="G30" i="28"/>
  <c r="D31" i="28"/>
  <c r="E31" i="28"/>
  <c r="F31" i="28"/>
  <c r="G31" i="28"/>
  <c r="G39" i="28" s="1"/>
  <c r="G65" i="28" s="1"/>
  <c r="D32" i="28"/>
  <c r="E32" i="28"/>
  <c r="F32" i="28"/>
  <c r="G32" i="28"/>
  <c r="D33" i="28"/>
  <c r="E33" i="28"/>
  <c r="F33" i="28"/>
  <c r="G33" i="28"/>
  <c r="D34" i="28"/>
  <c r="E34" i="28"/>
  <c r="F34" i="28"/>
  <c r="G34" i="28"/>
  <c r="D35" i="28"/>
  <c r="E35" i="28"/>
  <c r="F35" i="28"/>
  <c r="G35" i="28"/>
  <c r="D36" i="28"/>
  <c r="E36" i="28"/>
  <c r="F36" i="28"/>
  <c r="G36" i="28"/>
  <c r="D37" i="28"/>
  <c r="E37" i="28"/>
  <c r="F37" i="28"/>
  <c r="G37" i="28"/>
  <c r="D38" i="28"/>
  <c r="E38" i="28"/>
  <c r="F38" i="28"/>
  <c r="G38" i="28"/>
  <c r="G29" i="28"/>
  <c r="F29" i="28"/>
  <c r="E29" i="28"/>
  <c r="D29" i="28"/>
  <c r="D39" i="28" s="1"/>
  <c r="D65" i="28" s="1"/>
  <c r="D23" i="28"/>
  <c r="E23" i="28"/>
  <c r="F23" i="28"/>
  <c r="G23" i="28"/>
  <c r="D24" i="28"/>
  <c r="E24" i="28"/>
  <c r="F24" i="28"/>
  <c r="G24" i="28"/>
  <c r="D25" i="28"/>
  <c r="E25" i="28"/>
  <c r="F25" i="28"/>
  <c r="G25" i="28"/>
  <c r="D26" i="28"/>
  <c r="E26" i="28"/>
  <c r="F26" i="28"/>
  <c r="G26" i="28"/>
  <c r="G22" i="28"/>
  <c r="F22" i="28"/>
  <c r="E22" i="28"/>
  <c r="D22" i="28"/>
  <c r="D6" i="28"/>
  <c r="E6" i="28"/>
  <c r="G6" i="28"/>
  <c r="D7" i="28"/>
  <c r="E7" i="28"/>
  <c r="G7" i="28"/>
  <c r="D8" i="28"/>
  <c r="E8" i="28"/>
  <c r="G8" i="28"/>
  <c r="D9" i="28"/>
  <c r="E9" i="28"/>
  <c r="G9" i="28"/>
  <c r="D10" i="28"/>
  <c r="E10" i="28"/>
  <c r="G10" i="28"/>
  <c r="D11" i="28"/>
  <c r="E11" i="28"/>
  <c r="G11" i="28"/>
  <c r="D12" i="28"/>
  <c r="E12" i="28"/>
  <c r="G12" i="28"/>
  <c r="D13" i="28"/>
  <c r="E13" i="28"/>
  <c r="G13" i="28"/>
  <c r="D14" i="28"/>
  <c r="E14" i="28"/>
  <c r="G14" i="28"/>
  <c r="D15" i="28"/>
  <c r="E15" i="28"/>
  <c r="G15" i="28"/>
  <c r="D16" i="28"/>
  <c r="E16" i="28"/>
  <c r="G16" i="28"/>
  <c r="D17" i="28"/>
  <c r="E17" i="28"/>
  <c r="G17" i="28"/>
  <c r="D18" i="28"/>
  <c r="E18" i="28"/>
  <c r="G18" i="28"/>
  <c r="D19" i="28"/>
  <c r="E19" i="28"/>
  <c r="G19" i="28"/>
  <c r="G5" i="28"/>
  <c r="E5" i="28"/>
  <c r="D5" i="28"/>
  <c r="B4" i="28"/>
  <c r="G221" i="28"/>
  <c r="F221" i="28"/>
  <c r="E221" i="28"/>
  <c r="D221" i="28"/>
  <c r="C221" i="28"/>
  <c r="B221" i="28"/>
  <c r="A221" i="28"/>
  <c r="D190" i="28"/>
  <c r="G180" i="28"/>
  <c r="G191" i="28" s="1"/>
  <c r="F180" i="28"/>
  <c r="F191" i="28" s="1"/>
  <c r="E180" i="28"/>
  <c r="E191" i="28" s="1"/>
  <c r="D180" i="28"/>
  <c r="D191" i="28" s="1"/>
  <c r="C180" i="28"/>
  <c r="C191" i="28" s="1"/>
  <c r="G151" i="28"/>
  <c r="G166" i="28" s="1"/>
  <c r="F151" i="28"/>
  <c r="F166" i="28" s="1"/>
  <c r="E151" i="28"/>
  <c r="E166" i="28" s="1"/>
  <c r="D151" i="28"/>
  <c r="D166" i="28" s="1"/>
  <c r="C151" i="28"/>
  <c r="C166" i="28" s="1"/>
  <c r="G139" i="28"/>
  <c r="F139" i="28"/>
  <c r="E139" i="28"/>
  <c r="D139" i="28"/>
  <c r="C139" i="28"/>
  <c r="G118" i="28"/>
  <c r="F118" i="28"/>
  <c r="E118" i="28"/>
  <c r="D118" i="28"/>
  <c r="C118" i="28"/>
  <c r="G102" i="28"/>
  <c r="F102" i="28"/>
  <c r="E102" i="28"/>
  <c r="D102" i="28"/>
  <c r="C102" i="28"/>
  <c r="A89" i="28"/>
  <c r="G74" i="28"/>
  <c r="F74" i="28"/>
  <c r="E74" i="28"/>
  <c r="D74" i="28"/>
  <c r="C74" i="28"/>
  <c r="F39" i="28"/>
  <c r="F65" i="28" s="1"/>
  <c r="G27" i="28"/>
  <c r="F27" i="28"/>
  <c r="E27" i="28"/>
  <c r="D27" i="28"/>
  <c r="C27" i="28"/>
  <c r="G4" i="28"/>
  <c r="F4" i="28"/>
  <c r="E4" i="28"/>
  <c r="D4" i="28"/>
  <c r="C4" i="28"/>
  <c r="C208" i="27"/>
  <c r="D208" i="27"/>
  <c r="E208" i="27"/>
  <c r="F208" i="27"/>
  <c r="G208" i="27"/>
  <c r="C214" i="27"/>
  <c r="D214" i="27"/>
  <c r="E214" i="27"/>
  <c r="F214" i="27"/>
  <c r="G214" i="27"/>
  <c r="C215" i="27"/>
  <c r="C230" i="27" s="1"/>
  <c r="D215" i="27"/>
  <c r="D230" i="27" s="1"/>
  <c r="E215" i="27"/>
  <c r="E230" i="27" s="1"/>
  <c r="F215" i="27"/>
  <c r="F230" i="27" s="1"/>
  <c r="G215" i="27"/>
  <c r="G230" i="27" s="1"/>
  <c r="G207" i="27"/>
  <c r="G228" i="27" s="1"/>
  <c r="F207" i="27"/>
  <c r="F228" i="27" s="1"/>
  <c r="E207" i="27"/>
  <c r="E228" i="27" s="1"/>
  <c r="C207" i="27"/>
  <c r="C193" i="27"/>
  <c r="B86" i="33" s="1"/>
  <c r="F86" i="33" s="1"/>
  <c r="D193" i="27"/>
  <c r="E193" i="27"/>
  <c r="F193" i="27"/>
  <c r="G193" i="27"/>
  <c r="C194" i="27"/>
  <c r="B87" i="33" s="1"/>
  <c r="F87" i="33" s="1"/>
  <c r="D194" i="27"/>
  <c r="E194" i="27"/>
  <c r="F194" i="27"/>
  <c r="G194" i="27"/>
  <c r="C195" i="27"/>
  <c r="B88" i="33" s="1"/>
  <c r="F88" i="33" s="1"/>
  <c r="D195" i="27"/>
  <c r="E195" i="27"/>
  <c r="F195" i="27"/>
  <c r="G195" i="27"/>
  <c r="C196" i="27"/>
  <c r="B89" i="33" s="1"/>
  <c r="C89" i="33" s="1"/>
  <c r="D196" i="27"/>
  <c r="E196" i="27"/>
  <c r="F196" i="27"/>
  <c r="G196" i="27"/>
  <c r="C197" i="27"/>
  <c r="B90" i="33" s="1"/>
  <c r="F90" i="33" s="1"/>
  <c r="D197" i="27"/>
  <c r="C199" i="27"/>
  <c r="B92" i="33" s="1"/>
  <c r="F92" i="33" s="1"/>
  <c r="D199" i="27"/>
  <c r="E199" i="27"/>
  <c r="F199" i="27"/>
  <c r="G199" i="27"/>
  <c r="C200" i="27"/>
  <c r="B93" i="33" s="1"/>
  <c r="F93" i="33" s="1"/>
  <c r="D200" i="27"/>
  <c r="E200" i="27"/>
  <c r="F200" i="27"/>
  <c r="G200" i="27"/>
  <c r="C201" i="27"/>
  <c r="B94" i="33" s="1"/>
  <c r="F94" i="33" s="1"/>
  <c r="D201" i="27"/>
  <c r="E201" i="27"/>
  <c r="F201" i="27"/>
  <c r="G201" i="27"/>
  <c r="C202" i="27"/>
  <c r="B95" i="33" s="1"/>
  <c r="F95" i="33" s="1"/>
  <c r="D202" i="27"/>
  <c r="E202" i="27"/>
  <c r="F202" i="27"/>
  <c r="G202" i="27"/>
  <c r="G192" i="27"/>
  <c r="F192" i="27"/>
  <c r="E192" i="27"/>
  <c r="D192" i="27"/>
  <c r="C192" i="27"/>
  <c r="B85" i="33" s="1"/>
  <c r="F85" i="33" s="1"/>
  <c r="C182" i="27"/>
  <c r="B78" i="33" s="1"/>
  <c r="C78" i="33" s="1"/>
  <c r="D182" i="27"/>
  <c r="E182" i="27"/>
  <c r="F182" i="27"/>
  <c r="G182" i="27"/>
  <c r="C183" i="27"/>
  <c r="B79" i="33" s="1"/>
  <c r="C79" i="33" s="1"/>
  <c r="D183" i="27"/>
  <c r="E183" i="27"/>
  <c r="F183" i="27"/>
  <c r="G183" i="27"/>
  <c r="C184" i="27"/>
  <c r="B80" i="33" s="1"/>
  <c r="F80" i="33" s="1"/>
  <c r="D184" i="27"/>
  <c r="E184" i="27"/>
  <c r="F184" i="27"/>
  <c r="G184" i="27"/>
  <c r="C185" i="27"/>
  <c r="B81" i="33" s="1"/>
  <c r="F81" i="33" s="1"/>
  <c r="D185" i="27"/>
  <c r="E185" i="27"/>
  <c r="F185" i="27"/>
  <c r="G185" i="27"/>
  <c r="C186" i="27"/>
  <c r="B83" i="33" s="1"/>
  <c r="G83" i="33" s="1"/>
  <c r="D186" i="27"/>
  <c r="E186" i="27"/>
  <c r="F186" i="27"/>
  <c r="G186" i="27"/>
  <c r="C187" i="27"/>
  <c r="D187" i="27"/>
  <c r="E187" i="27"/>
  <c r="F187" i="27"/>
  <c r="G187" i="27"/>
  <c r="C188" i="27"/>
  <c r="B82" i="33" s="1"/>
  <c r="F82" i="33" s="1"/>
  <c r="D188" i="27"/>
  <c r="E188" i="27"/>
  <c r="F188" i="27"/>
  <c r="G188" i="27"/>
  <c r="C189" i="27"/>
  <c r="B84" i="33" s="1"/>
  <c r="F84" i="33" s="1"/>
  <c r="D189" i="27"/>
  <c r="E189" i="27"/>
  <c r="F189" i="27"/>
  <c r="G189" i="27"/>
  <c r="C177" i="27"/>
  <c r="B75" i="33" s="1"/>
  <c r="D177" i="27"/>
  <c r="E177" i="27"/>
  <c r="F177" i="27"/>
  <c r="G177" i="27"/>
  <c r="G179" i="27" s="1"/>
  <c r="C178" i="27"/>
  <c r="B76" i="33" s="1"/>
  <c r="D178" i="27"/>
  <c r="E178" i="27"/>
  <c r="F178" i="27"/>
  <c r="G178" i="27"/>
  <c r="G176" i="27"/>
  <c r="F176" i="27"/>
  <c r="E176" i="27"/>
  <c r="D176" i="27"/>
  <c r="C176" i="27"/>
  <c r="B74" i="33" s="1"/>
  <c r="C168" i="27"/>
  <c r="B68" i="33" s="1"/>
  <c r="F68" i="33" s="1"/>
  <c r="D168" i="27"/>
  <c r="E168" i="27"/>
  <c r="F168" i="27"/>
  <c r="G168" i="27"/>
  <c r="C169" i="27"/>
  <c r="B69" i="33" s="1"/>
  <c r="C69" i="33" s="1"/>
  <c r="D169" i="27"/>
  <c r="E169" i="27"/>
  <c r="F169" i="27"/>
  <c r="G169" i="27"/>
  <c r="C170" i="27"/>
  <c r="B70" i="33" s="1"/>
  <c r="E70" i="33" s="1"/>
  <c r="D170" i="27"/>
  <c r="E170" i="27"/>
  <c r="F170" i="27"/>
  <c r="G170" i="27"/>
  <c r="C171" i="27"/>
  <c r="B71" i="33" s="1"/>
  <c r="F71" i="33" s="1"/>
  <c r="D71" i="33" s="1"/>
  <c r="C71" i="33" s="1"/>
  <c r="D171" i="27"/>
  <c r="E171" i="27"/>
  <c r="F171" i="27"/>
  <c r="G171" i="27"/>
  <c r="C172" i="27"/>
  <c r="B72" i="33" s="1"/>
  <c r="F72" i="33" s="1"/>
  <c r="D172" i="27"/>
  <c r="E172" i="27"/>
  <c r="F172" i="27"/>
  <c r="G172" i="27"/>
  <c r="C173" i="27"/>
  <c r="B73" i="33" s="1"/>
  <c r="F73" i="33" s="1"/>
  <c r="D73" i="33" s="1"/>
  <c r="C73" i="33" s="1"/>
  <c r="D173" i="27"/>
  <c r="E173" i="27"/>
  <c r="F173" i="27"/>
  <c r="G173" i="27"/>
  <c r="G167" i="27"/>
  <c r="F167" i="27"/>
  <c r="E167" i="27"/>
  <c r="D167" i="27"/>
  <c r="C167" i="27"/>
  <c r="B67" i="33" s="1"/>
  <c r="F67" i="33" s="1"/>
  <c r="C154" i="27"/>
  <c r="D154" i="27"/>
  <c r="E154" i="27"/>
  <c r="F154" i="27"/>
  <c r="G154" i="27"/>
  <c r="C155" i="27"/>
  <c r="B58" i="33" s="1"/>
  <c r="E58" i="33" s="1"/>
  <c r="C157" i="27"/>
  <c r="B60" i="33" s="1"/>
  <c r="C158" i="27"/>
  <c r="B61" i="33" s="1"/>
  <c r="C61" i="33" s="1"/>
  <c r="D158" i="27"/>
  <c r="E158" i="27"/>
  <c r="F158" i="27"/>
  <c r="G158" i="27"/>
  <c r="C160" i="27"/>
  <c r="B63" i="33" s="1"/>
  <c r="C63" i="33" s="1"/>
  <c r="D160" i="27"/>
  <c r="E160" i="27"/>
  <c r="F160" i="27"/>
  <c r="G160" i="27"/>
  <c r="C164" i="27"/>
  <c r="D164" i="27"/>
  <c r="E164" i="27"/>
  <c r="F164" i="27"/>
  <c r="G164" i="27"/>
  <c r="C141" i="27"/>
  <c r="B47" i="33" s="1"/>
  <c r="C47" i="33" s="1"/>
  <c r="D141" i="27"/>
  <c r="E141" i="27"/>
  <c r="F141" i="27"/>
  <c r="G141" i="27"/>
  <c r="C142" i="27"/>
  <c r="B48" i="33" s="1"/>
  <c r="I48" i="33" s="1"/>
  <c r="C143" i="27"/>
  <c r="D143" i="27"/>
  <c r="E143" i="27"/>
  <c r="F143" i="27"/>
  <c r="G143" i="27"/>
  <c r="C149" i="27"/>
  <c r="B54" i="33" s="1"/>
  <c r="D149" i="27"/>
  <c r="E149" i="27"/>
  <c r="F149" i="27"/>
  <c r="G149" i="27"/>
  <c r="C134" i="27"/>
  <c r="B43" i="33" s="1"/>
  <c r="C43" i="33" s="1"/>
  <c r="D134" i="27"/>
  <c r="E134" i="27"/>
  <c r="F134" i="27"/>
  <c r="G134" i="27"/>
  <c r="C135" i="27"/>
  <c r="B44" i="33" s="1"/>
  <c r="D135" i="27"/>
  <c r="E135" i="27"/>
  <c r="F135" i="27"/>
  <c r="G135" i="27"/>
  <c r="C120" i="27"/>
  <c r="D120" i="27"/>
  <c r="E120" i="27"/>
  <c r="F120" i="27"/>
  <c r="F129" i="27" s="1"/>
  <c r="G120" i="27"/>
  <c r="C121" i="27"/>
  <c r="D121" i="27"/>
  <c r="E121" i="27"/>
  <c r="F121" i="27"/>
  <c r="G121" i="27"/>
  <c r="C122" i="27"/>
  <c r="D122" i="27"/>
  <c r="E122" i="27"/>
  <c r="F122" i="27"/>
  <c r="G122" i="27"/>
  <c r="C123" i="27"/>
  <c r="D123" i="27"/>
  <c r="E123" i="27"/>
  <c r="F123" i="27"/>
  <c r="G123" i="27"/>
  <c r="C124" i="27"/>
  <c r="D124" i="27"/>
  <c r="E124" i="27"/>
  <c r="F124" i="27"/>
  <c r="G124" i="27"/>
  <c r="C125" i="27"/>
  <c r="B37" i="33" s="1"/>
  <c r="F37" i="33" s="1"/>
  <c r="D125" i="27"/>
  <c r="E125" i="27"/>
  <c r="F125" i="27"/>
  <c r="G125" i="27"/>
  <c r="C126" i="27"/>
  <c r="D126" i="27"/>
  <c r="E126" i="27"/>
  <c r="F126" i="27"/>
  <c r="G126" i="27"/>
  <c r="C127" i="27"/>
  <c r="B38" i="33" s="1"/>
  <c r="F38" i="33" s="1"/>
  <c r="D127" i="27"/>
  <c r="E127" i="27"/>
  <c r="F127" i="27"/>
  <c r="G127" i="27"/>
  <c r="C128" i="27"/>
  <c r="B39" i="33" s="1"/>
  <c r="F39" i="33" s="1"/>
  <c r="D128" i="27"/>
  <c r="E128" i="27"/>
  <c r="F128" i="27"/>
  <c r="G128" i="27"/>
  <c r="G119" i="27"/>
  <c r="F119" i="27"/>
  <c r="E119" i="27"/>
  <c r="E129" i="27" s="1"/>
  <c r="D119" i="27"/>
  <c r="C119" i="27"/>
  <c r="C105" i="27"/>
  <c r="B20" i="33" s="1"/>
  <c r="E20" i="33" s="1"/>
  <c r="D105" i="27"/>
  <c r="F105" i="27"/>
  <c r="G105" i="27"/>
  <c r="C106" i="27"/>
  <c r="B21" i="33" s="1"/>
  <c r="C21" i="33" s="1"/>
  <c r="D106" i="27"/>
  <c r="E106" i="27"/>
  <c r="C107" i="27"/>
  <c r="B22" i="33" s="1"/>
  <c r="F22" i="33" s="1"/>
  <c r="D107" i="27"/>
  <c r="E107" i="27"/>
  <c r="F107" i="27"/>
  <c r="G107" i="27"/>
  <c r="C108" i="27"/>
  <c r="B23" i="33" s="1"/>
  <c r="F23" i="33" s="1"/>
  <c r="D108" i="27"/>
  <c r="E108" i="27"/>
  <c r="F108" i="27"/>
  <c r="G108" i="27"/>
  <c r="F109" i="27"/>
  <c r="G109" i="27"/>
  <c r="C110" i="27"/>
  <c r="D110" i="27"/>
  <c r="E110" i="27"/>
  <c r="F110" i="27"/>
  <c r="G110" i="27"/>
  <c r="C112" i="27"/>
  <c r="B26" i="33" s="1"/>
  <c r="E26" i="33" s="1"/>
  <c r="D112" i="27"/>
  <c r="E112" i="27"/>
  <c r="F112" i="27"/>
  <c r="G112" i="27"/>
  <c r="C113" i="27"/>
  <c r="B27" i="33" s="1"/>
  <c r="F27" i="33" s="1"/>
  <c r="D113" i="27"/>
  <c r="E113" i="27"/>
  <c r="F113" i="27"/>
  <c r="G113" i="27"/>
  <c r="C114" i="27"/>
  <c r="B28" i="33" s="1"/>
  <c r="F28" i="33" s="1"/>
  <c r="G28" i="33" s="1"/>
  <c r="H28" i="33" s="1"/>
  <c r="I28" i="33" s="1"/>
  <c r="J28" i="33" s="1"/>
  <c r="K28" i="33" s="1"/>
  <c r="L28" i="33" s="1"/>
  <c r="M28" i="33" s="1"/>
  <c r="N28" i="33" s="1"/>
  <c r="O28" i="33" s="1"/>
  <c r="P28" i="33" s="1"/>
  <c r="D28" i="33" s="1"/>
  <c r="C28" i="33" s="1"/>
  <c r="C115" i="27"/>
  <c r="B29" i="33" s="1"/>
  <c r="E29" i="33" s="1"/>
  <c r="D115" i="27"/>
  <c r="E115" i="27"/>
  <c r="F115" i="27"/>
  <c r="G115" i="27"/>
  <c r="C116" i="27"/>
  <c r="B30" i="33" s="1"/>
  <c r="E30" i="33" s="1"/>
  <c r="D116" i="27"/>
  <c r="E116" i="27"/>
  <c r="F116" i="27"/>
  <c r="G116" i="27"/>
  <c r="G104" i="27"/>
  <c r="F104" i="27"/>
  <c r="E104" i="27"/>
  <c r="D104" i="27"/>
  <c r="C104" i="27"/>
  <c r="B19" i="33" s="1"/>
  <c r="E19" i="33" s="1"/>
  <c r="C89" i="27"/>
  <c r="D89" i="27"/>
  <c r="E89" i="27"/>
  <c r="F89" i="27"/>
  <c r="G89" i="27"/>
  <c r="C92" i="27"/>
  <c r="C93" i="27"/>
  <c r="C94" i="27"/>
  <c r="C95" i="27"/>
  <c r="C96" i="27"/>
  <c r="D96" i="27"/>
  <c r="E96" i="27"/>
  <c r="F96" i="27"/>
  <c r="G96" i="27"/>
  <c r="C97" i="27"/>
  <c r="D97" i="27"/>
  <c r="E97" i="27"/>
  <c r="F97" i="27"/>
  <c r="G97" i="27"/>
  <c r="C98" i="27"/>
  <c r="D98" i="27"/>
  <c r="E98" i="27"/>
  <c r="F98" i="27"/>
  <c r="G98" i="27"/>
  <c r="C99" i="27"/>
  <c r="D99" i="27"/>
  <c r="E99" i="27"/>
  <c r="F99" i="27"/>
  <c r="G99" i="27"/>
  <c r="C79" i="27"/>
  <c r="B7" i="33" s="1"/>
  <c r="C7" i="33" s="1"/>
  <c r="C80" i="27"/>
  <c r="B8" i="33" s="1"/>
  <c r="C81" i="27"/>
  <c r="B9" i="33" s="1"/>
  <c r="C82" i="27"/>
  <c r="B10" i="33" s="1"/>
  <c r="C83" i="27"/>
  <c r="B11" i="33" s="1"/>
  <c r="C11" i="33" s="1"/>
  <c r="D83" i="27"/>
  <c r="E83" i="27"/>
  <c r="F83" i="27"/>
  <c r="G83" i="27"/>
  <c r="C84" i="27"/>
  <c r="B12" i="33" s="1"/>
  <c r="D84" i="27"/>
  <c r="E84" i="27"/>
  <c r="F84" i="27"/>
  <c r="G84" i="27"/>
  <c r="C85" i="27"/>
  <c r="B13" i="33" s="1"/>
  <c r="H13" i="33" s="1"/>
  <c r="D85" i="27"/>
  <c r="E85" i="27"/>
  <c r="F85" i="27"/>
  <c r="G85" i="27"/>
  <c r="C86" i="27"/>
  <c r="B14" i="33" s="1"/>
  <c r="F14" i="33" s="1"/>
  <c r="K14" i="33" s="1"/>
  <c r="D14" i="33" s="1"/>
  <c r="C14" i="33" s="1"/>
  <c r="D86" i="27"/>
  <c r="E86" i="27"/>
  <c r="F86" i="27"/>
  <c r="G86" i="27"/>
  <c r="C43" i="27"/>
  <c r="D43" i="27"/>
  <c r="F43" i="27"/>
  <c r="G43" i="27"/>
  <c r="C44" i="27"/>
  <c r="D44" i="27"/>
  <c r="E44" i="27"/>
  <c r="F29" i="35" s="1"/>
  <c r="F44" i="27"/>
  <c r="G29" i="35" s="1"/>
  <c r="G44" i="27"/>
  <c r="C45" i="27"/>
  <c r="D45" i="27"/>
  <c r="E45" i="27"/>
  <c r="F45" i="27"/>
  <c r="G45" i="27"/>
  <c r="C46" i="27"/>
  <c r="D29" i="30" s="1"/>
  <c r="D46" i="27"/>
  <c r="E29" i="30" s="1"/>
  <c r="E46" i="27"/>
  <c r="F29" i="30" s="1"/>
  <c r="F46" i="27"/>
  <c r="G29" i="30" s="1"/>
  <c r="G46" i="27"/>
  <c r="H29" i="30" s="1"/>
  <c r="C47" i="27"/>
  <c r="D47" i="27"/>
  <c r="E47" i="27"/>
  <c r="C48" i="27"/>
  <c r="D48" i="27"/>
  <c r="E48" i="27"/>
  <c r="F48" i="27"/>
  <c r="G48" i="27"/>
  <c r="C49" i="27"/>
  <c r="D49" i="27"/>
  <c r="E49" i="27"/>
  <c r="F49" i="27"/>
  <c r="G49" i="27"/>
  <c r="C50" i="27"/>
  <c r="D50" i="27"/>
  <c r="E50" i="27"/>
  <c r="F50" i="27"/>
  <c r="G50" i="27"/>
  <c r="C51" i="27"/>
  <c r="D51" i="27"/>
  <c r="E51" i="27"/>
  <c r="F51" i="27"/>
  <c r="G51" i="27"/>
  <c r="C52" i="27"/>
  <c r="C53" i="27"/>
  <c r="D53" i="27"/>
  <c r="E53" i="27"/>
  <c r="F53" i="27"/>
  <c r="G53" i="27"/>
  <c r="C54" i="27"/>
  <c r="D40" i="35" s="1"/>
  <c r="D54" i="27"/>
  <c r="E40" i="35" s="1"/>
  <c r="E54" i="27"/>
  <c r="F40" i="35" s="1"/>
  <c r="F54" i="27"/>
  <c r="G40" i="35" s="1"/>
  <c r="G54" i="27"/>
  <c r="H40" i="35" s="1"/>
  <c r="C55" i="27"/>
  <c r="D55" i="27"/>
  <c r="E55" i="27"/>
  <c r="F55" i="27"/>
  <c r="G55" i="27"/>
  <c r="C56" i="27"/>
  <c r="D33" i="30" s="1"/>
  <c r="D56" i="27"/>
  <c r="E33" i="30" s="1"/>
  <c r="E56" i="27"/>
  <c r="F33" i="30" s="1"/>
  <c r="F56" i="27"/>
  <c r="G33" i="30" s="1"/>
  <c r="G56" i="27"/>
  <c r="H33" i="30" s="1"/>
  <c r="C57" i="27"/>
  <c r="D34" i="35" s="1"/>
  <c r="D57" i="27"/>
  <c r="E34" i="35" s="1"/>
  <c r="E57" i="27"/>
  <c r="F34" i="35" s="1"/>
  <c r="F57" i="27"/>
  <c r="G34" i="35" s="1"/>
  <c r="G57" i="27"/>
  <c r="H34" i="35" s="1"/>
  <c r="C58" i="27"/>
  <c r="D58" i="27"/>
  <c r="E58" i="27"/>
  <c r="F58" i="27"/>
  <c r="G58" i="27"/>
  <c r="C59" i="27"/>
  <c r="D59" i="27"/>
  <c r="E59" i="27"/>
  <c r="F59" i="27"/>
  <c r="G59" i="27"/>
  <c r="C60" i="27"/>
  <c r="D39" i="30" s="1"/>
  <c r="D60" i="27"/>
  <c r="E39" i="30" s="1"/>
  <c r="E60" i="27"/>
  <c r="F39" i="30" s="1"/>
  <c r="F60" i="27"/>
  <c r="G39" i="30" s="1"/>
  <c r="G60" i="27"/>
  <c r="H39" i="30" s="1"/>
  <c r="C61" i="27"/>
  <c r="D61" i="27"/>
  <c r="E61" i="27"/>
  <c r="F61" i="27"/>
  <c r="G61" i="27"/>
  <c r="C62" i="27"/>
  <c r="D62" i="27"/>
  <c r="E62" i="27"/>
  <c r="F62" i="27"/>
  <c r="G62" i="27"/>
  <c r="G42" i="27"/>
  <c r="F42" i="27"/>
  <c r="E42" i="27"/>
  <c r="D42" i="27"/>
  <c r="C42" i="27"/>
  <c r="C31" i="27"/>
  <c r="E31" i="27"/>
  <c r="F31" i="27"/>
  <c r="G31" i="27"/>
  <c r="C32" i="27"/>
  <c r="D32" i="27"/>
  <c r="E32" i="27"/>
  <c r="F32" i="27"/>
  <c r="G32" i="27"/>
  <c r="C33" i="27"/>
  <c r="D33" i="27"/>
  <c r="E33" i="27"/>
  <c r="F33" i="27"/>
  <c r="G33" i="27"/>
  <c r="C34" i="27"/>
  <c r="D34" i="27"/>
  <c r="E34" i="27"/>
  <c r="F34" i="27"/>
  <c r="G34" i="27"/>
  <c r="C35" i="27"/>
  <c r="D35" i="27"/>
  <c r="E35" i="27"/>
  <c r="F35" i="27"/>
  <c r="G35" i="27"/>
  <c r="C36" i="27"/>
  <c r="D36" i="27"/>
  <c r="E36" i="27"/>
  <c r="F36" i="27"/>
  <c r="G36" i="27"/>
  <c r="C37" i="27"/>
  <c r="D37" i="27"/>
  <c r="E37" i="27"/>
  <c r="F37" i="27"/>
  <c r="G37" i="27"/>
  <c r="C38" i="27"/>
  <c r="D38" i="27"/>
  <c r="E38" i="27"/>
  <c r="F38" i="27"/>
  <c r="G38" i="27"/>
  <c r="G29" i="27"/>
  <c r="F29" i="27"/>
  <c r="C26" i="27"/>
  <c r="C23" i="27"/>
  <c r="C24" i="27"/>
  <c r="C6" i="27"/>
  <c r="D38" i="31" s="1"/>
  <c r="D6" i="27"/>
  <c r="E38" i="31" s="1"/>
  <c r="E6" i="27"/>
  <c r="F38" i="31" s="1"/>
  <c r="F6" i="27"/>
  <c r="G38" i="31" s="1"/>
  <c r="G6" i="27"/>
  <c r="H38" i="31" s="1"/>
  <c r="C7" i="27"/>
  <c r="D39" i="31" s="1"/>
  <c r="D7" i="27"/>
  <c r="E39" i="31" s="1"/>
  <c r="E7" i="27"/>
  <c r="F39" i="31" s="1"/>
  <c r="F7" i="27"/>
  <c r="G39" i="31" s="1"/>
  <c r="G7" i="27"/>
  <c r="H39" i="31" s="1"/>
  <c r="C8" i="27"/>
  <c r="D40" i="31" s="1"/>
  <c r="D8" i="27"/>
  <c r="E40" i="31" s="1"/>
  <c r="E8" i="27"/>
  <c r="F40" i="31" s="1"/>
  <c r="F8" i="27"/>
  <c r="G40" i="31" s="1"/>
  <c r="G8" i="27"/>
  <c r="H40" i="31" s="1"/>
  <c r="D9" i="27"/>
  <c r="E41" i="31" s="1"/>
  <c r="E9" i="27"/>
  <c r="F41" i="31" s="1"/>
  <c r="F9" i="27"/>
  <c r="G41" i="31" s="1"/>
  <c r="G9" i="27"/>
  <c r="H41" i="31" s="1"/>
  <c r="D10" i="27"/>
  <c r="E42" i="31" s="1"/>
  <c r="E10" i="27"/>
  <c r="F42" i="31" s="1"/>
  <c r="F10" i="27"/>
  <c r="G42" i="31" s="1"/>
  <c r="G10" i="27"/>
  <c r="H42" i="31" s="1"/>
  <c r="D12" i="27"/>
  <c r="E44" i="31" s="1"/>
  <c r="E12" i="27"/>
  <c r="F44" i="31" s="1"/>
  <c r="F12" i="27"/>
  <c r="G44" i="31" s="1"/>
  <c r="G12" i="27"/>
  <c r="H44" i="31" s="1"/>
  <c r="C13" i="27"/>
  <c r="D45" i="31" s="1"/>
  <c r="E13" i="27"/>
  <c r="F45" i="31" s="1"/>
  <c r="F13" i="27"/>
  <c r="G45" i="31" s="1"/>
  <c r="G13" i="27"/>
  <c r="H45" i="31" s="1"/>
  <c r="C14" i="27"/>
  <c r="D46" i="31" s="1"/>
  <c r="D14" i="27"/>
  <c r="E46" i="31" s="1"/>
  <c r="F14" i="27"/>
  <c r="G46" i="31" s="1"/>
  <c r="G14" i="27"/>
  <c r="H46" i="31" s="1"/>
  <c r="C15" i="27"/>
  <c r="D15" i="27"/>
  <c r="E15" i="27"/>
  <c r="F15" i="27"/>
  <c r="G15" i="27"/>
  <c r="C16" i="27"/>
  <c r="D16" i="27"/>
  <c r="E16" i="27"/>
  <c r="F16" i="27"/>
  <c r="G16" i="27"/>
  <c r="C17" i="27"/>
  <c r="D17" i="27"/>
  <c r="E17" i="27"/>
  <c r="F17" i="27"/>
  <c r="G17" i="27"/>
  <c r="C18" i="27"/>
  <c r="D18" i="27"/>
  <c r="E18" i="27"/>
  <c r="F18" i="27"/>
  <c r="G18" i="27"/>
  <c r="G221" i="27"/>
  <c r="F221" i="27"/>
  <c r="E221" i="27"/>
  <c r="D221" i="27"/>
  <c r="C221" i="27"/>
  <c r="B221" i="27"/>
  <c r="A221" i="27"/>
  <c r="G180" i="27"/>
  <c r="G191" i="27" s="1"/>
  <c r="F180" i="27"/>
  <c r="F191" i="27" s="1"/>
  <c r="E180" i="27"/>
  <c r="E191" i="27" s="1"/>
  <c r="D180" i="27"/>
  <c r="D191" i="27" s="1"/>
  <c r="C180" i="27"/>
  <c r="C191" i="27" s="1"/>
  <c r="C174" i="27"/>
  <c r="G151" i="27"/>
  <c r="G166" i="27" s="1"/>
  <c r="F151" i="27"/>
  <c r="F166" i="27" s="1"/>
  <c r="E151" i="27"/>
  <c r="E166" i="27" s="1"/>
  <c r="D151" i="27"/>
  <c r="D166" i="27" s="1"/>
  <c r="C151" i="27"/>
  <c r="C166" i="27" s="1"/>
  <c r="G139" i="27"/>
  <c r="F139" i="27"/>
  <c r="E139" i="27"/>
  <c r="D139" i="27"/>
  <c r="C139" i="27"/>
  <c r="G118" i="27"/>
  <c r="F118" i="27"/>
  <c r="E118" i="27"/>
  <c r="D118" i="27"/>
  <c r="C118" i="27"/>
  <c r="G102" i="27"/>
  <c r="F102" i="27"/>
  <c r="E102" i="27"/>
  <c r="D102" i="27"/>
  <c r="C102" i="27"/>
  <c r="A89" i="27"/>
  <c r="G74" i="27"/>
  <c r="F74" i="27"/>
  <c r="E74" i="27"/>
  <c r="D74" i="27"/>
  <c r="C74" i="27"/>
  <c r="G27" i="27"/>
  <c r="F27" i="27"/>
  <c r="E27" i="27"/>
  <c r="D27" i="27"/>
  <c r="C27" i="27"/>
  <c r="G4" i="27"/>
  <c r="F4" i="27"/>
  <c r="E4" i="27"/>
  <c r="D4" i="27"/>
  <c r="C4" i="27"/>
  <c r="C199" i="26"/>
  <c r="B94" i="34" s="1"/>
  <c r="F94" i="34" s="1"/>
  <c r="D199" i="26"/>
  <c r="E199" i="26"/>
  <c r="F199" i="26"/>
  <c r="G199" i="26"/>
  <c r="D200" i="26"/>
  <c r="E200" i="26"/>
  <c r="F200" i="26"/>
  <c r="G200" i="26"/>
  <c r="C201" i="26"/>
  <c r="B96" i="34" s="1"/>
  <c r="F96" i="34" s="1"/>
  <c r="D201" i="26"/>
  <c r="E201" i="26"/>
  <c r="F201" i="26"/>
  <c r="G201" i="26"/>
  <c r="C202" i="26"/>
  <c r="B97" i="34" s="1"/>
  <c r="F97" i="34" s="1"/>
  <c r="D202" i="26"/>
  <c r="E202" i="26"/>
  <c r="F202" i="26"/>
  <c r="G202" i="26"/>
  <c r="C182" i="26"/>
  <c r="B80" i="34" s="1"/>
  <c r="C80" i="34" s="1"/>
  <c r="D182" i="26"/>
  <c r="E182" i="26"/>
  <c r="F182" i="26"/>
  <c r="G182" i="26"/>
  <c r="C183" i="26"/>
  <c r="B81" i="34" s="1"/>
  <c r="C81" i="34" s="1"/>
  <c r="D183" i="26"/>
  <c r="E183" i="26"/>
  <c r="F183" i="26"/>
  <c r="G183" i="26"/>
  <c r="C184" i="26"/>
  <c r="B82" i="34" s="1"/>
  <c r="F82" i="34" s="1"/>
  <c r="D184" i="26"/>
  <c r="E184" i="26"/>
  <c r="F184" i="26"/>
  <c r="G184" i="26"/>
  <c r="C185" i="26"/>
  <c r="B83" i="34" s="1"/>
  <c r="F83" i="34" s="1"/>
  <c r="D185" i="26"/>
  <c r="E185" i="26"/>
  <c r="F185" i="26"/>
  <c r="G185" i="26"/>
  <c r="C186" i="26"/>
  <c r="B85" i="34" s="1"/>
  <c r="G85" i="34" s="1"/>
  <c r="D186" i="26"/>
  <c r="E186" i="26"/>
  <c r="F186" i="26"/>
  <c r="G186" i="26"/>
  <c r="C187" i="26"/>
  <c r="D187" i="26"/>
  <c r="E187" i="26"/>
  <c r="F187" i="26"/>
  <c r="G187" i="26"/>
  <c r="C188" i="26"/>
  <c r="B84" i="34" s="1"/>
  <c r="F84" i="34" s="1"/>
  <c r="D188" i="26"/>
  <c r="E188" i="26"/>
  <c r="F188" i="26"/>
  <c r="G188" i="26"/>
  <c r="C189" i="26"/>
  <c r="B86" i="34" s="1"/>
  <c r="F86" i="34" s="1"/>
  <c r="D189" i="26"/>
  <c r="E189" i="26"/>
  <c r="F189" i="26"/>
  <c r="G189" i="26"/>
  <c r="C169" i="26"/>
  <c r="B71" i="34" s="1"/>
  <c r="C71" i="34" s="1"/>
  <c r="D169" i="26"/>
  <c r="E169" i="26"/>
  <c r="F169" i="26"/>
  <c r="G169" i="26"/>
  <c r="C171" i="26"/>
  <c r="B73" i="34" s="1"/>
  <c r="F73" i="34" s="1"/>
  <c r="D73" i="34" s="1"/>
  <c r="C73" i="34" s="1"/>
  <c r="D171" i="26"/>
  <c r="E171" i="26"/>
  <c r="F171" i="26"/>
  <c r="G171" i="26"/>
  <c r="C172" i="26"/>
  <c r="B74" i="34" s="1"/>
  <c r="F74" i="34" s="1"/>
  <c r="D172" i="26"/>
  <c r="E172" i="26"/>
  <c r="F172" i="26"/>
  <c r="G172" i="26"/>
  <c r="C173" i="26"/>
  <c r="B75" i="34" s="1"/>
  <c r="F75" i="34" s="1"/>
  <c r="D75" i="34" s="1"/>
  <c r="C75" i="34" s="1"/>
  <c r="D173" i="26"/>
  <c r="E173" i="26"/>
  <c r="F173" i="26"/>
  <c r="G173" i="26"/>
  <c r="C154" i="26"/>
  <c r="B59" i="34" s="1"/>
  <c r="E59" i="34" s="1"/>
  <c r="D154" i="26"/>
  <c r="E154" i="26"/>
  <c r="F154" i="26"/>
  <c r="G154" i="26"/>
  <c r="C158" i="26"/>
  <c r="B63" i="34" s="1"/>
  <c r="C63" i="34" s="1"/>
  <c r="D158" i="26"/>
  <c r="E158" i="26"/>
  <c r="F158" i="26"/>
  <c r="G158" i="26"/>
  <c r="D160" i="26"/>
  <c r="E160" i="26"/>
  <c r="F160" i="26"/>
  <c r="G160" i="26"/>
  <c r="B164" i="26"/>
  <c r="C164" i="26"/>
  <c r="D164" i="26"/>
  <c r="E164" i="26"/>
  <c r="F164" i="26"/>
  <c r="G164" i="26"/>
  <c r="C141" i="26"/>
  <c r="B48" i="34" s="1"/>
  <c r="C48" i="34" s="1"/>
  <c r="D141" i="26"/>
  <c r="E141" i="26"/>
  <c r="F141" i="26"/>
  <c r="G141" i="26"/>
  <c r="C143" i="26"/>
  <c r="B50" i="34" s="1"/>
  <c r="D143" i="26"/>
  <c r="E143" i="26"/>
  <c r="F143" i="26"/>
  <c r="G143" i="26"/>
  <c r="B149" i="26"/>
  <c r="C149" i="26"/>
  <c r="B56" i="34" s="1"/>
  <c r="D149" i="26"/>
  <c r="E149" i="26"/>
  <c r="F149" i="26"/>
  <c r="G149" i="26"/>
  <c r="B134" i="26"/>
  <c r="C134" i="26"/>
  <c r="B44" i="34" s="1"/>
  <c r="C44" i="34" s="1"/>
  <c r="E134" i="26"/>
  <c r="F134" i="26"/>
  <c r="G134" i="26"/>
  <c r="C135" i="26"/>
  <c r="B45" i="34" s="1"/>
  <c r="D135" i="26"/>
  <c r="E135" i="26"/>
  <c r="C120" i="26"/>
  <c r="B33" i="34" s="1"/>
  <c r="E33" i="34" s="1"/>
  <c r="D120" i="26"/>
  <c r="E120" i="26"/>
  <c r="F120" i="26"/>
  <c r="G120" i="26"/>
  <c r="C122" i="26"/>
  <c r="B35" i="34" s="1"/>
  <c r="E35" i="34" s="1"/>
  <c r="D122" i="26"/>
  <c r="E122" i="26"/>
  <c r="F122" i="26"/>
  <c r="G122" i="26"/>
  <c r="C123" i="26"/>
  <c r="B36" i="34" s="1"/>
  <c r="E36" i="34" s="1"/>
  <c r="D123" i="26"/>
  <c r="E123" i="26"/>
  <c r="F123" i="26"/>
  <c r="G123" i="26"/>
  <c r="C124" i="26"/>
  <c r="B37" i="34" s="1"/>
  <c r="E37" i="34" s="1"/>
  <c r="D124" i="26"/>
  <c r="E124" i="26"/>
  <c r="F124" i="26"/>
  <c r="G124" i="26"/>
  <c r="C126" i="26"/>
  <c r="D126" i="26"/>
  <c r="E126" i="26"/>
  <c r="F126" i="26"/>
  <c r="G126" i="26"/>
  <c r="C128" i="26"/>
  <c r="B40" i="34" s="1"/>
  <c r="F40" i="34" s="1"/>
  <c r="D128" i="26"/>
  <c r="E128" i="26"/>
  <c r="F128" i="26"/>
  <c r="G128" i="26"/>
  <c r="G119" i="26"/>
  <c r="F119" i="26"/>
  <c r="E119" i="26"/>
  <c r="D119" i="26"/>
  <c r="C119" i="26"/>
  <c r="B32" i="34" s="1"/>
  <c r="E32" i="34" s="1"/>
  <c r="C110" i="26"/>
  <c r="D110" i="26"/>
  <c r="E110" i="26"/>
  <c r="F110" i="26"/>
  <c r="G110" i="26"/>
  <c r="D116" i="26"/>
  <c r="E116" i="26"/>
  <c r="F116" i="26"/>
  <c r="G116" i="26"/>
  <c r="C89" i="26"/>
  <c r="D89" i="26"/>
  <c r="E89" i="26"/>
  <c r="F89" i="26"/>
  <c r="G89" i="26"/>
  <c r="C96" i="26"/>
  <c r="D96" i="26"/>
  <c r="E96" i="26"/>
  <c r="F96" i="26"/>
  <c r="G96" i="26"/>
  <c r="C97" i="26"/>
  <c r="D97" i="26"/>
  <c r="E97" i="26"/>
  <c r="F97" i="26"/>
  <c r="G97" i="26"/>
  <c r="C98" i="26"/>
  <c r="D98" i="26"/>
  <c r="E98" i="26"/>
  <c r="F98" i="26"/>
  <c r="G98" i="26"/>
  <c r="C99" i="26"/>
  <c r="D99" i="26"/>
  <c r="E99" i="26"/>
  <c r="F99" i="26"/>
  <c r="G99" i="26"/>
  <c r="C83" i="26"/>
  <c r="D83" i="26"/>
  <c r="E83" i="26"/>
  <c r="F83" i="26"/>
  <c r="G83" i="26"/>
  <c r="C84" i="26"/>
  <c r="B14" i="34" s="1"/>
  <c r="H14" i="34" s="1"/>
  <c r="D84" i="26"/>
  <c r="E84" i="26"/>
  <c r="F84" i="26"/>
  <c r="G84" i="26"/>
  <c r="C85" i="26"/>
  <c r="B15" i="34" s="1"/>
  <c r="F15" i="34" s="1"/>
  <c r="D85" i="26"/>
  <c r="E85" i="26"/>
  <c r="F85" i="26"/>
  <c r="G85" i="26"/>
  <c r="C86" i="26"/>
  <c r="B16" i="34" s="1"/>
  <c r="D86" i="26"/>
  <c r="E86" i="26"/>
  <c r="F86" i="26"/>
  <c r="G86" i="26"/>
  <c r="C74" i="26"/>
  <c r="D74" i="26"/>
  <c r="E74" i="26"/>
  <c r="F74" i="26"/>
  <c r="G74" i="26"/>
  <c r="B74" i="26"/>
  <c r="D43" i="26"/>
  <c r="E5" i="35" s="1"/>
  <c r="F43" i="26"/>
  <c r="G5" i="35" s="1"/>
  <c r="G43" i="26"/>
  <c r="H5" i="35" s="1"/>
  <c r="D45" i="26"/>
  <c r="E6" i="35" s="1"/>
  <c r="E45" i="26"/>
  <c r="F6" i="35" s="1"/>
  <c r="F45" i="26"/>
  <c r="G6" i="35" s="1"/>
  <c r="G45" i="26"/>
  <c r="H6" i="35" s="1"/>
  <c r="D46" i="26"/>
  <c r="E46" i="26"/>
  <c r="F46" i="26"/>
  <c r="G46" i="26"/>
  <c r="D47" i="26"/>
  <c r="E8" i="35" s="1"/>
  <c r="E47" i="26"/>
  <c r="F8" i="35" s="1"/>
  <c r="D48" i="26"/>
  <c r="E13" i="35" s="1"/>
  <c r="E48" i="26"/>
  <c r="F13" i="35" s="1"/>
  <c r="F48" i="26"/>
  <c r="G13" i="35" s="1"/>
  <c r="G48" i="26"/>
  <c r="H13" i="35" s="1"/>
  <c r="D49" i="26"/>
  <c r="E14" i="35" s="1"/>
  <c r="E49" i="26"/>
  <c r="F14" i="35" s="1"/>
  <c r="F49" i="26"/>
  <c r="G14" i="35" s="1"/>
  <c r="G49" i="26"/>
  <c r="H14" i="35" s="1"/>
  <c r="D50" i="26"/>
  <c r="E50" i="26"/>
  <c r="F50" i="26"/>
  <c r="G50" i="26"/>
  <c r="H15" i="35" s="1"/>
  <c r="D51" i="26"/>
  <c r="E51" i="26"/>
  <c r="F51" i="26"/>
  <c r="G51" i="26"/>
  <c r="D53" i="26"/>
  <c r="E17" i="35" s="1"/>
  <c r="E53" i="26"/>
  <c r="F17" i="35" s="1"/>
  <c r="F53" i="26"/>
  <c r="G17" i="35" s="1"/>
  <c r="G53" i="26"/>
  <c r="H17" i="35" s="1"/>
  <c r="D54" i="26"/>
  <c r="E18" i="35" s="1"/>
  <c r="E54" i="26"/>
  <c r="F18" i="35" s="1"/>
  <c r="F54" i="26"/>
  <c r="G18" i="35" s="1"/>
  <c r="G54" i="26"/>
  <c r="H18" i="35" s="1"/>
  <c r="D55" i="26"/>
  <c r="E55" i="26"/>
  <c r="F55" i="26"/>
  <c r="G55" i="26"/>
  <c r="D56" i="26"/>
  <c r="E56" i="26"/>
  <c r="F56" i="26"/>
  <c r="G56" i="26"/>
  <c r="D57" i="26"/>
  <c r="E12" i="35" s="1"/>
  <c r="E57" i="26"/>
  <c r="F12" i="35" s="1"/>
  <c r="F57" i="26"/>
  <c r="G12" i="35" s="1"/>
  <c r="G57" i="26"/>
  <c r="H12" i="35" s="1"/>
  <c r="D58" i="26"/>
  <c r="E58" i="26"/>
  <c r="F58" i="26"/>
  <c r="G58" i="26"/>
  <c r="D59" i="26"/>
  <c r="E59" i="26"/>
  <c r="F59" i="26"/>
  <c r="G59" i="26"/>
  <c r="D60" i="26"/>
  <c r="E79" i="30" s="1"/>
  <c r="E60" i="26"/>
  <c r="F79" i="30" s="1"/>
  <c r="F60" i="26"/>
  <c r="G79" i="30" s="1"/>
  <c r="G60" i="26"/>
  <c r="H79" i="30" s="1"/>
  <c r="D61" i="26"/>
  <c r="E61" i="26"/>
  <c r="F61" i="26"/>
  <c r="G61" i="26"/>
  <c r="D62" i="26"/>
  <c r="E62" i="26"/>
  <c r="F62" i="26"/>
  <c r="G62" i="26"/>
  <c r="G42" i="26"/>
  <c r="H4" i="35" s="1"/>
  <c r="F42" i="26"/>
  <c r="G4" i="35" s="1"/>
  <c r="E42" i="26"/>
  <c r="F4" i="35" s="1"/>
  <c r="D42" i="26"/>
  <c r="E4" i="35" s="1"/>
  <c r="E31" i="26"/>
  <c r="F31" i="26"/>
  <c r="G31" i="26"/>
  <c r="D32" i="26"/>
  <c r="E32" i="26"/>
  <c r="F32" i="26"/>
  <c r="G32" i="26"/>
  <c r="D33" i="26"/>
  <c r="E33" i="26"/>
  <c r="F33" i="26"/>
  <c r="G33" i="26"/>
  <c r="D34" i="26"/>
  <c r="E34" i="26"/>
  <c r="F34" i="26"/>
  <c r="G34" i="26"/>
  <c r="D35" i="26"/>
  <c r="E35" i="26"/>
  <c r="F35" i="26"/>
  <c r="G35" i="26"/>
  <c r="D36" i="26"/>
  <c r="E36" i="26"/>
  <c r="F36" i="26"/>
  <c r="G36" i="26"/>
  <c r="D37" i="26"/>
  <c r="E37" i="26"/>
  <c r="F37" i="26"/>
  <c r="G37" i="26"/>
  <c r="D38" i="26"/>
  <c r="E38" i="26"/>
  <c r="F38" i="26"/>
  <c r="G38" i="26"/>
  <c r="G29" i="26"/>
  <c r="H9" i="35" s="1"/>
  <c r="F29" i="26"/>
  <c r="G9" i="35" s="1"/>
  <c r="C27" i="26"/>
  <c r="D27" i="26"/>
  <c r="E27" i="26"/>
  <c r="F27" i="26"/>
  <c r="G27" i="26"/>
  <c r="D6" i="26"/>
  <c r="E6" i="26"/>
  <c r="G6" i="26"/>
  <c r="D7" i="26"/>
  <c r="E7" i="26"/>
  <c r="G7" i="26"/>
  <c r="D8" i="26"/>
  <c r="E8" i="26"/>
  <c r="G8" i="26"/>
  <c r="D9" i="26"/>
  <c r="E9" i="26"/>
  <c r="G9" i="26"/>
  <c r="D10" i="26"/>
  <c r="E10" i="26"/>
  <c r="G10" i="26"/>
  <c r="D12" i="26"/>
  <c r="E12" i="26"/>
  <c r="G12" i="26"/>
  <c r="E13" i="26"/>
  <c r="G13" i="26"/>
  <c r="D14" i="26"/>
  <c r="G14" i="26"/>
  <c r="D15" i="26"/>
  <c r="E15" i="26"/>
  <c r="G15" i="26"/>
  <c r="D16" i="26"/>
  <c r="E16" i="26"/>
  <c r="G16" i="26"/>
  <c r="D17" i="26"/>
  <c r="E17" i="26"/>
  <c r="G17" i="26"/>
  <c r="D18" i="26"/>
  <c r="E18" i="26"/>
  <c r="G18" i="26"/>
  <c r="B4" i="26"/>
  <c r="C4" i="26"/>
  <c r="D4" i="26"/>
  <c r="E4" i="26"/>
  <c r="F4" i="26"/>
  <c r="G4" i="26"/>
  <c r="G221" i="26"/>
  <c r="G180" i="26"/>
  <c r="G191" i="26" s="1"/>
  <c r="G151" i="26"/>
  <c r="G166" i="26" s="1"/>
  <c r="G139" i="26"/>
  <c r="G118" i="26"/>
  <c r="G102" i="26"/>
  <c r="F221" i="26"/>
  <c r="F180" i="26"/>
  <c r="F191" i="26" s="1"/>
  <c r="F151" i="26"/>
  <c r="F166" i="26" s="1"/>
  <c r="F139" i="26"/>
  <c r="F118" i="26"/>
  <c r="F102" i="26"/>
  <c r="E221" i="26"/>
  <c r="E180" i="26"/>
  <c r="E191" i="26" s="1"/>
  <c r="E151" i="26"/>
  <c r="E166" i="26" s="1"/>
  <c r="E139" i="26"/>
  <c r="E118" i="26"/>
  <c r="E102" i="26"/>
  <c r="D221" i="26"/>
  <c r="C221" i="26"/>
  <c r="B221" i="26"/>
  <c r="A221" i="26"/>
  <c r="D180" i="26"/>
  <c r="D191" i="26" s="1"/>
  <c r="C180" i="26"/>
  <c r="C191" i="26" s="1"/>
  <c r="B180" i="26"/>
  <c r="B191" i="26" s="1"/>
  <c r="D151" i="26"/>
  <c r="D166" i="26" s="1"/>
  <c r="C151" i="26"/>
  <c r="C166" i="26" s="1"/>
  <c r="B151" i="26"/>
  <c r="B166" i="26" s="1"/>
  <c r="D139" i="26"/>
  <c r="C139" i="26"/>
  <c r="B139" i="26"/>
  <c r="D118" i="26"/>
  <c r="C118" i="26"/>
  <c r="B118" i="26"/>
  <c r="D102" i="26"/>
  <c r="C102" i="26"/>
  <c r="B102" i="26"/>
  <c r="A89" i="26"/>
  <c r="B202" i="25"/>
  <c r="B200" i="25"/>
  <c r="B199" i="25"/>
  <c r="J111" i="25"/>
  <c r="B202" i="21"/>
  <c r="B200" i="21"/>
  <c r="B199" i="21"/>
  <c r="J111" i="21"/>
  <c r="K44" i="12"/>
  <c r="K42" i="12"/>
  <c r="K43" i="12"/>
  <c r="K41" i="12"/>
  <c r="K40" i="12"/>
  <c r="J111" i="24"/>
  <c r="L13" i="22"/>
  <c r="D13" i="27" s="1"/>
  <c r="E45" i="31" s="1"/>
  <c r="L14" i="22"/>
  <c r="H197" i="22"/>
  <c r="H195" i="22"/>
  <c r="H192" i="22"/>
  <c r="H105" i="22"/>
  <c r="J111" i="22"/>
  <c r="I125" i="22"/>
  <c r="J111" i="19"/>
  <c r="H167" i="19"/>
  <c r="H200" i="19"/>
  <c r="H177" i="19"/>
  <c r="H178" i="19"/>
  <c r="H176" i="19"/>
  <c r="H172" i="19"/>
  <c r="I42" i="12"/>
  <c r="I40" i="12"/>
  <c r="I41" i="12"/>
  <c r="I39" i="12"/>
  <c r="I38" i="12"/>
  <c r="H197" i="19"/>
  <c r="H195" i="19"/>
  <c r="H192" i="19"/>
  <c r="G10" i="35" l="1"/>
  <c r="F10" i="35"/>
  <c r="G15" i="35"/>
  <c r="K15" i="34"/>
  <c r="D15" i="34"/>
  <c r="C15" i="34" s="1"/>
  <c r="F36" i="34"/>
  <c r="G36" i="34" s="1"/>
  <c r="H36" i="34" s="1"/>
  <c r="I36" i="34" s="1"/>
  <c r="J36" i="34" s="1"/>
  <c r="K36" i="34" s="1"/>
  <c r="L36" i="34" s="1"/>
  <c r="M36" i="34" s="1"/>
  <c r="N36" i="34" s="1"/>
  <c r="O36" i="34" s="1"/>
  <c r="P36" i="34" s="1"/>
  <c r="D36" i="34"/>
  <c r="C36" i="34" s="1"/>
  <c r="G96" i="34"/>
  <c r="H96" i="34" s="1"/>
  <c r="I96" i="34" s="1"/>
  <c r="J96" i="34" s="1"/>
  <c r="K96" i="34" s="1"/>
  <c r="L96" i="34" s="1"/>
  <c r="M96" i="34" s="1"/>
  <c r="N96" i="34" s="1"/>
  <c r="O96" i="34" s="1"/>
  <c r="P96" i="34" s="1"/>
  <c r="I14" i="34"/>
  <c r="J14" i="34" s="1"/>
  <c r="K14" i="34" s="1"/>
  <c r="L14" i="34" s="1"/>
  <c r="M14" i="34" s="1"/>
  <c r="N14" i="34" s="1"/>
  <c r="O14" i="34" s="1"/>
  <c r="P14" i="34" s="1"/>
  <c r="F35" i="34"/>
  <c r="G35" i="34" s="1"/>
  <c r="H35" i="34" s="1"/>
  <c r="I35" i="34" s="1"/>
  <c r="J35" i="34" s="1"/>
  <c r="K35" i="34" s="1"/>
  <c r="L35" i="34" s="1"/>
  <c r="M35" i="34" s="1"/>
  <c r="N35" i="34" s="1"/>
  <c r="O35" i="34" s="1"/>
  <c r="P35" i="34" s="1"/>
  <c r="H85" i="34"/>
  <c r="I85" i="34" s="1"/>
  <c r="J85" i="34" s="1"/>
  <c r="K85" i="34" s="1"/>
  <c r="L85" i="34" s="1"/>
  <c r="M85" i="34" s="1"/>
  <c r="N85" i="34" s="1"/>
  <c r="O85" i="34" s="1"/>
  <c r="P85" i="34" s="1"/>
  <c r="D85" i="34"/>
  <c r="G40" i="34"/>
  <c r="H40" i="34" s="1"/>
  <c r="I40" i="34" s="1"/>
  <c r="J40" i="34" s="1"/>
  <c r="K40" i="34" s="1"/>
  <c r="L40" i="34" s="1"/>
  <c r="M40" i="34" s="1"/>
  <c r="N40" i="34" s="1"/>
  <c r="O40" i="34" s="1"/>
  <c r="P40" i="34" s="1"/>
  <c r="D40" i="34"/>
  <c r="C40" i="34" s="1"/>
  <c r="F37" i="34"/>
  <c r="G37" i="34" s="1"/>
  <c r="H37" i="34" s="1"/>
  <c r="I37" i="34" s="1"/>
  <c r="J37" i="34" s="1"/>
  <c r="K37" i="34" s="1"/>
  <c r="L37" i="34" s="1"/>
  <c r="M37" i="34" s="1"/>
  <c r="N37" i="34" s="1"/>
  <c r="O37" i="34" s="1"/>
  <c r="P37" i="34" s="1"/>
  <c r="D37" i="34"/>
  <c r="C37" i="34" s="1"/>
  <c r="F33" i="34"/>
  <c r="G33" i="34" s="1"/>
  <c r="H33" i="34" s="1"/>
  <c r="I33" i="34" s="1"/>
  <c r="J33" i="34" s="1"/>
  <c r="K33" i="34" s="1"/>
  <c r="L33" i="34" s="1"/>
  <c r="M33" i="34" s="1"/>
  <c r="N33" i="34" s="1"/>
  <c r="O33" i="34" s="1"/>
  <c r="P33" i="34" s="1"/>
  <c r="D33" i="34"/>
  <c r="C33" i="34" s="1"/>
  <c r="F59" i="34"/>
  <c r="G59" i="34" s="1"/>
  <c r="H59" i="34" s="1"/>
  <c r="I59" i="34" s="1"/>
  <c r="J59" i="34" s="1"/>
  <c r="K59" i="34" s="1"/>
  <c r="L59" i="34" s="1"/>
  <c r="M59" i="34" s="1"/>
  <c r="N59" i="34" s="1"/>
  <c r="O59" i="34" s="1"/>
  <c r="P59" i="34" s="1"/>
  <c r="D59" i="34"/>
  <c r="C59" i="34" s="1"/>
  <c r="G84" i="34"/>
  <c r="H84" i="34" s="1"/>
  <c r="I84" i="34" s="1"/>
  <c r="J84" i="34" s="1"/>
  <c r="K84" i="34" s="1"/>
  <c r="L84" i="34" s="1"/>
  <c r="M84" i="34" s="1"/>
  <c r="N84" i="34" s="1"/>
  <c r="O84" i="34" s="1"/>
  <c r="P84" i="34" s="1"/>
  <c r="D84" i="34"/>
  <c r="C84" i="34" s="1"/>
  <c r="G82" i="34"/>
  <c r="H82" i="34" s="1"/>
  <c r="I82" i="34" s="1"/>
  <c r="J82" i="34" s="1"/>
  <c r="K82" i="34" s="1"/>
  <c r="L82" i="34" s="1"/>
  <c r="M82" i="34" s="1"/>
  <c r="N82" i="34" s="1"/>
  <c r="O82" i="34" s="1"/>
  <c r="P82" i="34" s="1"/>
  <c r="D82" i="34"/>
  <c r="C82" i="34" s="1"/>
  <c r="G97" i="34"/>
  <c r="H97" i="34" s="1"/>
  <c r="I97" i="34" s="1"/>
  <c r="J97" i="34" s="1"/>
  <c r="K97" i="34" s="1"/>
  <c r="L97" i="34" s="1"/>
  <c r="M97" i="34" s="1"/>
  <c r="N97" i="34" s="1"/>
  <c r="O97" i="34" s="1"/>
  <c r="P97" i="34" s="1"/>
  <c r="D97" i="34"/>
  <c r="C97" i="34" s="1"/>
  <c r="F50" i="34"/>
  <c r="E50" i="34"/>
  <c r="D50" i="34" s="1"/>
  <c r="F15" i="35"/>
  <c r="H10" i="35"/>
  <c r="E15" i="35"/>
  <c r="F32" i="34"/>
  <c r="G32" i="34" s="1"/>
  <c r="H32" i="34" s="1"/>
  <c r="I32" i="34" s="1"/>
  <c r="J32" i="34" s="1"/>
  <c r="K32" i="34" s="1"/>
  <c r="L32" i="34" s="1"/>
  <c r="M32" i="34" s="1"/>
  <c r="N32" i="34" s="1"/>
  <c r="O32" i="34" s="1"/>
  <c r="P32" i="34" s="1"/>
  <c r="E56" i="34"/>
  <c r="F56" i="34"/>
  <c r="G56" i="34" s="1"/>
  <c r="H56" i="34" s="1"/>
  <c r="I56" i="34" s="1"/>
  <c r="J56" i="34" s="1"/>
  <c r="K56" i="34" s="1"/>
  <c r="L56" i="34" s="1"/>
  <c r="M56" i="34" s="1"/>
  <c r="N56" i="34" s="1"/>
  <c r="O56" i="34" s="1"/>
  <c r="P56" i="34" s="1"/>
  <c r="G74" i="34"/>
  <c r="H74" i="34" s="1"/>
  <c r="I74" i="34" s="1"/>
  <c r="J74" i="34" s="1"/>
  <c r="K74" i="34" s="1"/>
  <c r="L74" i="34" s="1"/>
  <c r="M74" i="34" s="1"/>
  <c r="N74" i="34" s="1"/>
  <c r="O74" i="34" s="1"/>
  <c r="P74" i="34" s="1"/>
  <c r="G86" i="34"/>
  <c r="H86" i="34" s="1"/>
  <c r="I86" i="34" s="1"/>
  <c r="J86" i="34" s="1"/>
  <c r="K86" i="34" s="1"/>
  <c r="L86" i="34" s="1"/>
  <c r="M86" i="34" s="1"/>
  <c r="N86" i="34" s="1"/>
  <c r="O86" i="34" s="1"/>
  <c r="P86" i="34" s="1"/>
  <c r="G83" i="34"/>
  <c r="H83" i="34" s="1"/>
  <c r="I83" i="34" s="1"/>
  <c r="J83" i="34" s="1"/>
  <c r="K83" i="34" s="1"/>
  <c r="L83" i="34" s="1"/>
  <c r="M83" i="34" s="1"/>
  <c r="N83" i="34" s="1"/>
  <c r="O83" i="34" s="1"/>
  <c r="P83" i="34" s="1"/>
  <c r="D83" i="34"/>
  <c r="C83" i="34" s="1"/>
  <c r="G94" i="34"/>
  <c r="H94" i="34" s="1"/>
  <c r="I94" i="34" s="1"/>
  <c r="J94" i="34" s="1"/>
  <c r="K94" i="34" s="1"/>
  <c r="L94" i="34" s="1"/>
  <c r="M94" i="34" s="1"/>
  <c r="N94" i="34" s="1"/>
  <c r="O94" i="34" s="1"/>
  <c r="P94" i="34" s="1"/>
  <c r="D94" i="34"/>
  <c r="C94" i="34" s="1"/>
  <c r="G75" i="33"/>
  <c r="D75" i="33" s="1"/>
  <c r="C75" i="33" s="1"/>
  <c r="K75" i="33"/>
  <c r="H83" i="33"/>
  <c r="I83" i="33" s="1"/>
  <c r="J83" i="33" s="1"/>
  <c r="K83" i="33" s="1"/>
  <c r="L83" i="33" s="1"/>
  <c r="M83" i="33" s="1"/>
  <c r="N83" i="33" s="1"/>
  <c r="O83" i="33" s="1"/>
  <c r="P83" i="33" s="1"/>
  <c r="D83" i="33"/>
  <c r="G93" i="33"/>
  <c r="H93" i="33" s="1"/>
  <c r="I93" i="33" s="1"/>
  <c r="J93" i="33" s="1"/>
  <c r="K93" i="33" s="1"/>
  <c r="L93" i="33" s="1"/>
  <c r="M93" i="33" s="1"/>
  <c r="N93" i="33" s="1"/>
  <c r="O93" i="33" s="1"/>
  <c r="P93" i="33" s="1"/>
  <c r="G88" i="33"/>
  <c r="H88" i="33" s="1"/>
  <c r="I88" i="33" s="1"/>
  <c r="J88" i="33" s="1"/>
  <c r="K88" i="33" s="1"/>
  <c r="L88" i="33" s="1"/>
  <c r="M88" i="33" s="1"/>
  <c r="N88" i="33" s="1"/>
  <c r="O88" i="33" s="1"/>
  <c r="P88" i="33" s="1"/>
  <c r="D88" i="33"/>
  <c r="C88" i="33" s="1"/>
  <c r="D25" i="31"/>
  <c r="D69" i="31"/>
  <c r="D24" i="31"/>
  <c r="D68" i="31"/>
  <c r="E23" i="31"/>
  <c r="E67" i="31"/>
  <c r="E21" i="31"/>
  <c r="E65" i="31"/>
  <c r="E20" i="31"/>
  <c r="E64" i="31"/>
  <c r="E19" i="31"/>
  <c r="E63" i="31"/>
  <c r="F62" i="31"/>
  <c r="F18" i="31"/>
  <c r="G61" i="31"/>
  <c r="G17" i="31"/>
  <c r="H31" i="35"/>
  <c r="H35" i="30"/>
  <c r="H32" i="35"/>
  <c r="H36" i="30"/>
  <c r="C63" i="27"/>
  <c r="C66" i="27" s="1"/>
  <c r="D26" i="35"/>
  <c r="D27" i="30"/>
  <c r="H26" i="35"/>
  <c r="H27" i="30"/>
  <c r="F39" i="35"/>
  <c r="F44" i="30"/>
  <c r="E37" i="35"/>
  <c r="E42" i="30"/>
  <c r="F36" i="35"/>
  <c r="F41" i="30"/>
  <c r="G35" i="35"/>
  <c r="G40" i="30"/>
  <c r="F30" i="35"/>
  <c r="F31" i="30"/>
  <c r="H28" i="35"/>
  <c r="H38" i="30"/>
  <c r="D28" i="35"/>
  <c r="D38" i="30"/>
  <c r="E29" i="35"/>
  <c r="E27" i="35"/>
  <c r="E28" i="30"/>
  <c r="L8" i="33"/>
  <c r="D8" i="33" s="1"/>
  <c r="O8" i="33"/>
  <c r="F30" i="33"/>
  <c r="G30" i="33" s="1"/>
  <c r="H30" i="33" s="1"/>
  <c r="I30" i="33" s="1"/>
  <c r="J30" i="33" s="1"/>
  <c r="K30" i="33" s="1"/>
  <c r="L30" i="33" s="1"/>
  <c r="M30" i="33" s="1"/>
  <c r="N30" i="33" s="1"/>
  <c r="O30" i="33" s="1"/>
  <c r="P30" i="33" s="1"/>
  <c r="F26" i="33"/>
  <c r="G26" i="33" s="1"/>
  <c r="H26" i="33" s="1"/>
  <c r="I26" i="33" s="1"/>
  <c r="J26" i="33" s="1"/>
  <c r="K26" i="33" s="1"/>
  <c r="L26" i="33" s="1"/>
  <c r="M26" i="33" s="1"/>
  <c r="N26" i="33" s="1"/>
  <c r="O26" i="33" s="1"/>
  <c r="P26" i="33" s="1"/>
  <c r="G23" i="33"/>
  <c r="H23" i="33" s="1"/>
  <c r="I23" i="33" s="1"/>
  <c r="J23" i="33" s="1"/>
  <c r="K23" i="33" s="1"/>
  <c r="L23" i="33" s="1"/>
  <c r="M23" i="33" s="1"/>
  <c r="N23" i="33" s="1"/>
  <c r="O23" i="33" s="1"/>
  <c r="P23" i="33" s="1"/>
  <c r="F20" i="33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K44" i="33"/>
  <c r="D44" i="33" s="1"/>
  <c r="C44" i="33" s="1"/>
  <c r="P44" i="33"/>
  <c r="F58" i="33"/>
  <c r="G58" i="33" s="1"/>
  <c r="H58" i="33" s="1"/>
  <c r="I58" i="33" s="1"/>
  <c r="J58" i="33" s="1"/>
  <c r="K58" i="33" s="1"/>
  <c r="L58" i="33" s="1"/>
  <c r="M58" i="33" s="1"/>
  <c r="N58" i="33" s="1"/>
  <c r="O58" i="33" s="1"/>
  <c r="P58" i="33" s="1"/>
  <c r="G72" i="33"/>
  <c r="H72" i="33" s="1"/>
  <c r="I72" i="33" s="1"/>
  <c r="J72" i="33" s="1"/>
  <c r="K72" i="33" s="1"/>
  <c r="L72" i="33" s="1"/>
  <c r="M72" i="33" s="1"/>
  <c r="N72" i="33" s="1"/>
  <c r="O72" i="33" s="1"/>
  <c r="P72" i="33" s="1"/>
  <c r="G68" i="33"/>
  <c r="H68" i="33" s="1"/>
  <c r="I68" i="33" s="1"/>
  <c r="J68" i="33" s="1"/>
  <c r="K68" i="33" s="1"/>
  <c r="L68" i="33" s="1"/>
  <c r="M68" i="33" s="1"/>
  <c r="N68" i="33" s="1"/>
  <c r="O68" i="33" s="1"/>
  <c r="P68" i="33" s="1"/>
  <c r="F179" i="27"/>
  <c r="G84" i="33"/>
  <c r="H84" i="33" s="1"/>
  <c r="I84" i="33" s="1"/>
  <c r="J84" i="33" s="1"/>
  <c r="K84" i="33" s="1"/>
  <c r="L84" i="33" s="1"/>
  <c r="M84" i="33" s="1"/>
  <c r="N84" i="33" s="1"/>
  <c r="O84" i="33" s="1"/>
  <c r="P84" i="33" s="1"/>
  <c r="D84" i="33"/>
  <c r="C84" i="33" s="1"/>
  <c r="G81" i="33"/>
  <c r="H81" i="33" s="1"/>
  <c r="I81" i="33" s="1"/>
  <c r="J81" i="33" s="1"/>
  <c r="K81" i="33" s="1"/>
  <c r="L81" i="33" s="1"/>
  <c r="M81" i="33" s="1"/>
  <c r="N81" i="33" s="1"/>
  <c r="O81" i="33" s="1"/>
  <c r="P81" i="33" s="1"/>
  <c r="D81" i="33"/>
  <c r="C81" i="33" s="1"/>
  <c r="G85" i="33"/>
  <c r="H85" i="33" s="1"/>
  <c r="I85" i="33" s="1"/>
  <c r="J85" i="33" s="1"/>
  <c r="K85" i="33" s="1"/>
  <c r="L85" i="33" s="1"/>
  <c r="M85" i="33" s="1"/>
  <c r="N85" i="33" s="1"/>
  <c r="O85" i="33" s="1"/>
  <c r="P85" i="33" s="1"/>
  <c r="D85" i="33"/>
  <c r="C85" i="33" s="1"/>
  <c r="G92" i="33"/>
  <c r="H92" i="33" s="1"/>
  <c r="I92" i="33" s="1"/>
  <c r="J92" i="33" s="1"/>
  <c r="K92" i="33" s="1"/>
  <c r="L92" i="33" s="1"/>
  <c r="M92" i="33" s="1"/>
  <c r="N92" i="33" s="1"/>
  <c r="O92" i="33" s="1"/>
  <c r="P92" i="33" s="1"/>
  <c r="D92" i="33"/>
  <c r="C92" i="33" s="1"/>
  <c r="G87" i="33"/>
  <c r="H87" i="33" s="1"/>
  <c r="I87" i="33" s="1"/>
  <c r="J87" i="33" s="1"/>
  <c r="K87" i="33" s="1"/>
  <c r="L87" i="33" s="1"/>
  <c r="M87" i="33" s="1"/>
  <c r="N87" i="33" s="1"/>
  <c r="O87" i="33" s="1"/>
  <c r="P87" i="33" s="1"/>
  <c r="D87" i="33"/>
  <c r="C87" i="33" s="1"/>
  <c r="E68" i="31"/>
  <c r="E24" i="31"/>
  <c r="F68" i="31"/>
  <c r="F24" i="31"/>
  <c r="F21" i="31"/>
  <c r="F65" i="31"/>
  <c r="F19" i="31"/>
  <c r="F63" i="31"/>
  <c r="H17" i="31"/>
  <c r="H61" i="31"/>
  <c r="G31" i="35"/>
  <c r="G35" i="30"/>
  <c r="D32" i="35"/>
  <c r="D36" i="30"/>
  <c r="G26" i="35"/>
  <c r="G27" i="30"/>
  <c r="D38" i="35"/>
  <c r="D43" i="30"/>
  <c r="F37" i="35"/>
  <c r="F42" i="30"/>
  <c r="H35" i="35"/>
  <c r="H40" i="30"/>
  <c r="I13" i="33"/>
  <c r="J13" i="33" s="1"/>
  <c r="K13" i="33" s="1"/>
  <c r="L13" i="33" s="1"/>
  <c r="M13" i="33" s="1"/>
  <c r="N13" i="33" s="1"/>
  <c r="O13" i="33" s="1"/>
  <c r="P13" i="33" s="1"/>
  <c r="D13" i="33"/>
  <c r="C13" i="33" s="1"/>
  <c r="L9" i="33"/>
  <c r="O9" i="33"/>
  <c r="E41" i="33"/>
  <c r="E40" i="33"/>
  <c r="F19" i="33"/>
  <c r="I60" i="33"/>
  <c r="L60" i="33" s="1"/>
  <c r="D60" i="33" s="1"/>
  <c r="C60" i="33" s="1"/>
  <c r="C179" i="27"/>
  <c r="H69" i="31"/>
  <c r="H25" i="31"/>
  <c r="H24" i="31"/>
  <c r="H68" i="31"/>
  <c r="H23" i="31"/>
  <c r="H67" i="31"/>
  <c r="H65" i="31"/>
  <c r="H21" i="31"/>
  <c r="H64" i="31"/>
  <c r="H20" i="31"/>
  <c r="H19" i="31"/>
  <c r="H63" i="31"/>
  <c r="D63" i="31"/>
  <c r="D19" i="31"/>
  <c r="E62" i="31"/>
  <c r="E18" i="31"/>
  <c r="F17" i="31"/>
  <c r="F61" i="31"/>
  <c r="G32" i="35"/>
  <c r="G36" i="30"/>
  <c r="E26" i="35"/>
  <c r="E27" i="30"/>
  <c r="E39" i="35"/>
  <c r="E44" i="30"/>
  <c r="H37" i="35"/>
  <c r="H42" i="30"/>
  <c r="D37" i="35"/>
  <c r="D42" i="30"/>
  <c r="E36" i="35"/>
  <c r="E41" i="30"/>
  <c r="F35" i="35"/>
  <c r="F40" i="30"/>
  <c r="E30" i="35"/>
  <c r="E31" i="30"/>
  <c r="H29" i="35"/>
  <c r="D29" i="35"/>
  <c r="D28" i="30"/>
  <c r="D27" i="35"/>
  <c r="F29" i="33"/>
  <c r="G29" i="33" s="1"/>
  <c r="H29" i="33" s="1"/>
  <c r="I29" i="33" s="1"/>
  <c r="J29" i="33" s="1"/>
  <c r="K29" i="33" s="1"/>
  <c r="L29" i="33" s="1"/>
  <c r="M29" i="33" s="1"/>
  <c r="N29" i="33" s="1"/>
  <c r="O29" i="33" s="1"/>
  <c r="P29" i="33" s="1"/>
  <c r="G22" i="33"/>
  <c r="H22" i="33" s="1"/>
  <c r="I22" i="33" s="1"/>
  <c r="J22" i="33" s="1"/>
  <c r="K22" i="33" s="1"/>
  <c r="L22" i="33" s="1"/>
  <c r="M22" i="33" s="1"/>
  <c r="N22" i="33" s="1"/>
  <c r="O22" i="33" s="1"/>
  <c r="P22" i="33" s="1"/>
  <c r="D37" i="33"/>
  <c r="C37" i="33" s="1"/>
  <c r="G37" i="33"/>
  <c r="H37" i="33" s="1"/>
  <c r="I37" i="33" s="1"/>
  <c r="J37" i="33" s="1"/>
  <c r="K37" i="33" s="1"/>
  <c r="L37" i="33" s="1"/>
  <c r="M37" i="33" s="1"/>
  <c r="N37" i="33" s="1"/>
  <c r="O37" i="33" s="1"/>
  <c r="P37" i="33" s="1"/>
  <c r="J48" i="33"/>
  <c r="K48" i="33" s="1"/>
  <c r="L48" i="33" s="1"/>
  <c r="M48" i="33" s="1"/>
  <c r="N48" i="33" s="1"/>
  <c r="O48" i="33" s="1"/>
  <c r="P48" i="33" s="1"/>
  <c r="F174" i="27"/>
  <c r="G174" i="27"/>
  <c r="G74" i="33"/>
  <c r="K74" i="33"/>
  <c r="E179" i="27"/>
  <c r="G82" i="33"/>
  <c r="H82" i="33" s="1"/>
  <c r="I82" i="33" s="1"/>
  <c r="J82" i="33" s="1"/>
  <c r="K82" i="33" s="1"/>
  <c r="L82" i="33" s="1"/>
  <c r="M82" i="33" s="1"/>
  <c r="N82" i="33" s="1"/>
  <c r="O82" i="33" s="1"/>
  <c r="P82" i="33" s="1"/>
  <c r="D82" i="33"/>
  <c r="C82" i="33" s="1"/>
  <c r="G80" i="33"/>
  <c r="H80" i="33" s="1"/>
  <c r="I80" i="33" s="1"/>
  <c r="J80" i="33" s="1"/>
  <c r="K80" i="33" s="1"/>
  <c r="L80" i="33" s="1"/>
  <c r="M80" i="33" s="1"/>
  <c r="N80" i="33" s="1"/>
  <c r="O80" i="33" s="1"/>
  <c r="P80" i="33" s="1"/>
  <c r="D80" i="33"/>
  <c r="C80" i="33" s="1"/>
  <c r="G95" i="33"/>
  <c r="H95" i="33" s="1"/>
  <c r="I95" i="33" s="1"/>
  <c r="J95" i="33" s="1"/>
  <c r="K95" i="33" s="1"/>
  <c r="L95" i="33" s="1"/>
  <c r="M95" i="33" s="1"/>
  <c r="N95" i="33" s="1"/>
  <c r="O95" i="33" s="1"/>
  <c r="P95" i="33" s="1"/>
  <c r="D95" i="33"/>
  <c r="C95" i="33" s="1"/>
  <c r="G90" i="33"/>
  <c r="H90" i="33" s="1"/>
  <c r="I90" i="33" s="1"/>
  <c r="J90" i="33" s="1"/>
  <c r="K90" i="33" s="1"/>
  <c r="L90" i="33" s="1"/>
  <c r="M90" i="33" s="1"/>
  <c r="N90" i="33" s="1"/>
  <c r="O90" i="33" s="1"/>
  <c r="P90" i="33" s="1"/>
  <c r="D90" i="33" s="1"/>
  <c r="C90" i="33" s="1"/>
  <c r="G86" i="33"/>
  <c r="H86" i="33" s="1"/>
  <c r="I86" i="33" s="1"/>
  <c r="J86" i="33" s="1"/>
  <c r="K86" i="33" s="1"/>
  <c r="L86" i="33" s="1"/>
  <c r="M86" i="33" s="1"/>
  <c r="N86" i="33" s="1"/>
  <c r="O86" i="33" s="1"/>
  <c r="P86" i="33" s="1"/>
  <c r="D86" i="33"/>
  <c r="C86" i="33" s="1"/>
  <c r="E25" i="31"/>
  <c r="E69" i="31"/>
  <c r="F23" i="31"/>
  <c r="F67" i="31"/>
  <c r="F64" i="31"/>
  <c r="F20" i="31"/>
  <c r="G18" i="31"/>
  <c r="G62" i="31"/>
  <c r="D61" i="31"/>
  <c r="D17" i="31"/>
  <c r="G39" i="35"/>
  <c r="G44" i="30"/>
  <c r="G36" i="35"/>
  <c r="G41" i="30"/>
  <c r="D35" i="35"/>
  <c r="D40" i="30"/>
  <c r="E28" i="35"/>
  <c r="E38" i="30"/>
  <c r="G27" i="35"/>
  <c r="G28" i="30"/>
  <c r="G27" i="33"/>
  <c r="H27" i="33" s="1"/>
  <c r="I27" i="33" s="1"/>
  <c r="J27" i="33" s="1"/>
  <c r="K27" i="33" s="1"/>
  <c r="L27" i="33" s="1"/>
  <c r="M27" i="33" s="1"/>
  <c r="N27" i="33" s="1"/>
  <c r="O27" i="33" s="1"/>
  <c r="P27" i="33" s="1"/>
  <c r="G38" i="33"/>
  <c r="H38" i="33" s="1"/>
  <c r="I38" i="33" s="1"/>
  <c r="J38" i="33" s="1"/>
  <c r="K38" i="33" s="1"/>
  <c r="L38" i="33" s="1"/>
  <c r="M38" i="33" s="1"/>
  <c r="N38" i="33" s="1"/>
  <c r="O38" i="33" s="1"/>
  <c r="P38" i="33" s="1"/>
  <c r="D38" i="33"/>
  <c r="C38" i="33" s="1"/>
  <c r="G129" i="27"/>
  <c r="C129" i="27"/>
  <c r="G28" i="35"/>
  <c r="G38" i="30"/>
  <c r="G25" i="31"/>
  <c r="G69" i="31"/>
  <c r="G24" i="31"/>
  <c r="G68" i="31"/>
  <c r="G67" i="31"/>
  <c r="G23" i="31"/>
  <c r="G65" i="31"/>
  <c r="G21" i="31"/>
  <c r="G20" i="31"/>
  <c r="G64" i="31"/>
  <c r="G63" i="31"/>
  <c r="G19" i="31"/>
  <c r="H18" i="31"/>
  <c r="H62" i="31"/>
  <c r="D18" i="31"/>
  <c r="D62" i="31"/>
  <c r="E17" i="31"/>
  <c r="E61" i="31"/>
  <c r="F32" i="35"/>
  <c r="F36" i="30"/>
  <c r="F26" i="35"/>
  <c r="F27" i="30"/>
  <c r="H39" i="35"/>
  <c r="H44" i="30"/>
  <c r="D39" i="35"/>
  <c r="D44" i="30"/>
  <c r="G37" i="35"/>
  <c r="G42" i="30"/>
  <c r="H36" i="35"/>
  <c r="H41" i="30"/>
  <c r="D36" i="35"/>
  <c r="D41" i="30"/>
  <c r="E35" i="35"/>
  <c r="E40" i="30"/>
  <c r="D30" i="35"/>
  <c r="D31" i="30"/>
  <c r="F28" i="35"/>
  <c r="F38" i="30"/>
  <c r="H27" i="35"/>
  <c r="H28" i="30"/>
  <c r="G39" i="33"/>
  <c r="H39" i="33" s="1"/>
  <c r="I39" i="33" s="1"/>
  <c r="J39" i="33" s="1"/>
  <c r="K39" i="33" s="1"/>
  <c r="L39" i="33" s="1"/>
  <c r="M39" i="33" s="1"/>
  <c r="N39" i="33" s="1"/>
  <c r="O39" i="33" s="1"/>
  <c r="P39" i="33" s="1"/>
  <c r="D39" i="33"/>
  <c r="C39" i="33" s="1"/>
  <c r="E54" i="33"/>
  <c r="F54" i="33"/>
  <c r="G54" i="33" s="1"/>
  <c r="H54" i="33" s="1"/>
  <c r="I54" i="33" s="1"/>
  <c r="J54" i="33" s="1"/>
  <c r="K54" i="33" s="1"/>
  <c r="L54" i="33" s="1"/>
  <c r="M54" i="33" s="1"/>
  <c r="N54" i="33" s="1"/>
  <c r="O54" i="33" s="1"/>
  <c r="P54" i="33" s="1"/>
  <c r="G67" i="33"/>
  <c r="H67" i="33" s="1"/>
  <c r="I67" i="33" s="1"/>
  <c r="J67" i="33" s="1"/>
  <c r="K67" i="33" s="1"/>
  <c r="L67" i="33" s="1"/>
  <c r="M67" i="33" s="1"/>
  <c r="N67" i="33" s="1"/>
  <c r="O67" i="33" s="1"/>
  <c r="P67" i="33" s="1"/>
  <c r="D67" i="33"/>
  <c r="C67" i="33" s="1"/>
  <c r="F70" i="33"/>
  <c r="G70" i="33" s="1"/>
  <c r="H70" i="33" s="1"/>
  <c r="I70" i="33" s="1"/>
  <c r="J70" i="33" s="1"/>
  <c r="K70" i="33" s="1"/>
  <c r="L70" i="33" s="1"/>
  <c r="M70" i="33" s="1"/>
  <c r="N70" i="33" s="1"/>
  <c r="O70" i="33" s="1"/>
  <c r="P70" i="33" s="1"/>
  <c r="E174" i="27"/>
  <c r="K76" i="33"/>
  <c r="G76" i="33"/>
  <c r="G94" i="33"/>
  <c r="H94" i="33" s="1"/>
  <c r="I94" i="33" s="1"/>
  <c r="J94" i="33" s="1"/>
  <c r="K94" i="33" s="1"/>
  <c r="L94" i="33" s="1"/>
  <c r="M94" i="33" s="1"/>
  <c r="N94" i="33" s="1"/>
  <c r="O94" i="33" s="1"/>
  <c r="P94" i="33" s="1"/>
  <c r="C228" i="27"/>
  <c r="B97" i="33"/>
  <c r="F97" i="33" s="1"/>
  <c r="P45" i="34"/>
  <c r="K45" i="34"/>
  <c r="F50" i="31"/>
  <c r="F50" i="29"/>
  <c r="H48" i="31"/>
  <c r="H48" i="29"/>
  <c r="E47" i="31"/>
  <c r="E47" i="29"/>
  <c r="K14" i="26"/>
  <c r="E46" i="29"/>
  <c r="F45" i="29"/>
  <c r="L13" i="26"/>
  <c r="F44" i="29"/>
  <c r="L12" i="26"/>
  <c r="L10" i="26"/>
  <c r="F42" i="29"/>
  <c r="F41" i="29"/>
  <c r="L9" i="26"/>
  <c r="F40" i="29"/>
  <c r="L8" i="26"/>
  <c r="N6" i="26"/>
  <c r="H38" i="29"/>
  <c r="F67" i="30"/>
  <c r="F88" i="30"/>
  <c r="E73" i="30"/>
  <c r="E94" i="30"/>
  <c r="H105" i="30"/>
  <c r="H84" i="30"/>
  <c r="G103" i="30"/>
  <c r="G82" i="30"/>
  <c r="H102" i="30"/>
  <c r="H81" i="30"/>
  <c r="E80" i="30"/>
  <c r="E101" i="30"/>
  <c r="E90" i="30"/>
  <c r="E69" i="30"/>
  <c r="E50" i="31"/>
  <c r="E50" i="29"/>
  <c r="F49" i="31"/>
  <c r="F49" i="29"/>
  <c r="H47" i="31"/>
  <c r="H47" i="29"/>
  <c r="E44" i="29"/>
  <c r="K12" i="26"/>
  <c r="K10" i="26"/>
  <c r="E42" i="29"/>
  <c r="E41" i="29"/>
  <c r="K9" i="26"/>
  <c r="E40" i="29"/>
  <c r="K8" i="26"/>
  <c r="F39" i="29"/>
  <c r="L7" i="26"/>
  <c r="G67" i="30"/>
  <c r="G88" i="30"/>
  <c r="H73" i="30"/>
  <c r="H94" i="30"/>
  <c r="G84" i="30"/>
  <c r="G105" i="30"/>
  <c r="F82" i="30"/>
  <c r="F103" i="30"/>
  <c r="G81" i="30"/>
  <c r="G102" i="30"/>
  <c r="H101" i="30"/>
  <c r="H80" i="30"/>
  <c r="H69" i="30"/>
  <c r="H90" i="30"/>
  <c r="H89" i="30"/>
  <c r="H68" i="30"/>
  <c r="H50" i="31"/>
  <c r="H50" i="29"/>
  <c r="E49" i="31"/>
  <c r="E49" i="29"/>
  <c r="F48" i="31"/>
  <c r="F48" i="29"/>
  <c r="N14" i="26"/>
  <c r="H46" i="29"/>
  <c r="H45" i="29"/>
  <c r="N13" i="26"/>
  <c r="H44" i="29"/>
  <c r="N12" i="26"/>
  <c r="N10" i="26"/>
  <c r="H42" i="29"/>
  <c r="H41" i="29"/>
  <c r="N9" i="26"/>
  <c r="N8" i="26"/>
  <c r="H40" i="29"/>
  <c r="K7" i="26"/>
  <c r="E39" i="29"/>
  <c r="F38" i="29"/>
  <c r="L6" i="26"/>
  <c r="H88" i="30"/>
  <c r="H67" i="30"/>
  <c r="G94" i="30"/>
  <c r="G73" i="30"/>
  <c r="F84" i="30"/>
  <c r="F105" i="30"/>
  <c r="E82" i="30"/>
  <c r="E103" i="30"/>
  <c r="F102" i="30"/>
  <c r="F81" i="30"/>
  <c r="G101" i="30"/>
  <c r="G80" i="30"/>
  <c r="F71" i="30"/>
  <c r="F92" i="30"/>
  <c r="G90" i="30"/>
  <c r="G69" i="30"/>
  <c r="G89" i="30"/>
  <c r="G68" i="30"/>
  <c r="H49" i="31"/>
  <c r="H49" i="29"/>
  <c r="E48" i="31"/>
  <c r="E48" i="29"/>
  <c r="F47" i="31"/>
  <c r="F47" i="29"/>
  <c r="N7" i="26"/>
  <c r="H39" i="29"/>
  <c r="K6" i="26"/>
  <c r="E38" i="29"/>
  <c r="E88" i="30"/>
  <c r="E67" i="30"/>
  <c r="F94" i="30"/>
  <c r="F73" i="30"/>
  <c r="E105" i="30"/>
  <c r="E84" i="30"/>
  <c r="H82" i="30"/>
  <c r="H103" i="30"/>
  <c r="E81" i="30"/>
  <c r="E102" i="30"/>
  <c r="F101" i="30"/>
  <c r="F80" i="30"/>
  <c r="E92" i="30"/>
  <c r="E71" i="30"/>
  <c r="F90" i="30"/>
  <c r="F69" i="30"/>
  <c r="E89" i="30"/>
  <c r="E68" i="30"/>
  <c r="D127" i="30"/>
  <c r="E190" i="28"/>
  <c r="D179" i="27"/>
  <c r="D174" i="27"/>
  <c r="D129" i="27"/>
  <c r="H202" i="25"/>
  <c r="H200" i="25"/>
  <c r="L200" i="25" s="1"/>
  <c r="H199" i="25"/>
  <c r="H196" i="25"/>
  <c r="H195" i="25"/>
  <c r="H194" i="25"/>
  <c r="N194" i="25" s="1"/>
  <c r="H192" i="25"/>
  <c r="I81" i="25"/>
  <c r="I79" i="25"/>
  <c r="L152" i="25"/>
  <c r="G152" i="27" s="1"/>
  <c r="K127" i="19"/>
  <c r="K127" i="22"/>
  <c r="K127" i="24"/>
  <c r="K127" i="21"/>
  <c r="K127" i="25"/>
  <c r="I125" i="25"/>
  <c r="L125" i="25" s="1"/>
  <c r="J114" i="21"/>
  <c r="I114" i="21"/>
  <c r="H115" i="25"/>
  <c r="L115" i="25" s="1"/>
  <c r="J114" i="25"/>
  <c r="J117" i="25" s="1"/>
  <c r="J130" i="25" s="1"/>
  <c r="I114" i="25"/>
  <c r="H113" i="25"/>
  <c r="H112" i="25"/>
  <c r="L112" i="25" s="1"/>
  <c r="I108" i="25"/>
  <c r="L108" i="25" s="1"/>
  <c r="I107" i="25"/>
  <c r="H105" i="25"/>
  <c r="H104" i="25"/>
  <c r="I80" i="25"/>
  <c r="J79" i="25"/>
  <c r="L221" i="25"/>
  <c r="K221" i="25"/>
  <c r="J221" i="25"/>
  <c r="I221" i="25"/>
  <c r="H221" i="25"/>
  <c r="L216" i="25"/>
  <c r="L215" i="25"/>
  <c r="L214" i="25"/>
  <c r="L213" i="25"/>
  <c r="G213" i="27" s="1"/>
  <c r="L212" i="25"/>
  <c r="G212" i="27" s="1"/>
  <c r="L211" i="25"/>
  <c r="G211" i="27" s="1"/>
  <c r="L210" i="25"/>
  <c r="G210" i="27" s="1"/>
  <c r="L209" i="25"/>
  <c r="G209" i="27" s="1"/>
  <c r="G229" i="27" s="1"/>
  <c r="G231" i="27" s="1"/>
  <c r="L208" i="25"/>
  <c r="L207" i="25"/>
  <c r="N207" i="25"/>
  <c r="K203" i="25"/>
  <c r="J203" i="25"/>
  <c r="I203" i="25"/>
  <c r="L202" i="25"/>
  <c r="L201" i="25"/>
  <c r="N200" i="25"/>
  <c r="L199" i="25"/>
  <c r="L197" i="25"/>
  <c r="G197" i="27" s="1"/>
  <c r="L196" i="25"/>
  <c r="L195" i="25"/>
  <c r="L194" i="25"/>
  <c r="L193" i="25"/>
  <c r="J190" i="25"/>
  <c r="I190" i="25"/>
  <c r="L189" i="25"/>
  <c r="L188" i="25"/>
  <c r="L187" i="25"/>
  <c r="L186" i="25"/>
  <c r="L185" i="25"/>
  <c r="L184" i="25"/>
  <c r="H184" i="25"/>
  <c r="H190" i="25" s="1"/>
  <c r="L183" i="25"/>
  <c r="L182" i="25"/>
  <c r="L180" i="25"/>
  <c r="L191" i="25" s="1"/>
  <c r="K180" i="25"/>
  <c r="K191" i="25" s="1"/>
  <c r="J180" i="25"/>
  <c r="J191" i="25" s="1"/>
  <c r="I180" i="25"/>
  <c r="I191" i="25" s="1"/>
  <c r="H180" i="25"/>
  <c r="H191" i="25" s="1"/>
  <c r="K179" i="25"/>
  <c r="J179" i="25"/>
  <c r="I179" i="25"/>
  <c r="L178" i="25"/>
  <c r="H178" i="25"/>
  <c r="L177" i="25"/>
  <c r="H177" i="25"/>
  <c r="H176" i="25"/>
  <c r="L176" i="25" s="1"/>
  <c r="L179" i="25" s="1"/>
  <c r="K174" i="25"/>
  <c r="J174" i="25"/>
  <c r="I174" i="25"/>
  <c r="H173" i="25"/>
  <c r="L173" i="25" s="1"/>
  <c r="H172" i="25"/>
  <c r="L172" i="25" s="1"/>
  <c r="L171" i="25"/>
  <c r="L170" i="25"/>
  <c r="L169" i="25"/>
  <c r="L168" i="25"/>
  <c r="H168" i="25"/>
  <c r="H167" i="25"/>
  <c r="H174" i="25" s="1"/>
  <c r="K165" i="25"/>
  <c r="L160" i="25"/>
  <c r="L158" i="25"/>
  <c r="L157" i="25"/>
  <c r="G157" i="27" s="1"/>
  <c r="L154" i="25"/>
  <c r="L151" i="25"/>
  <c r="L166" i="25" s="1"/>
  <c r="K151" i="25"/>
  <c r="K166" i="25" s="1"/>
  <c r="J151" i="25"/>
  <c r="J166" i="25" s="1"/>
  <c r="I151" i="25"/>
  <c r="I166" i="25" s="1"/>
  <c r="H151" i="25"/>
  <c r="H166" i="25" s="1"/>
  <c r="K150" i="25"/>
  <c r="L143" i="25"/>
  <c r="L142" i="25"/>
  <c r="G142" i="27" s="1"/>
  <c r="L141" i="25"/>
  <c r="L139" i="25"/>
  <c r="K139" i="25"/>
  <c r="J139" i="25"/>
  <c r="I139" i="25"/>
  <c r="H139" i="25"/>
  <c r="L135" i="25"/>
  <c r="J129" i="25"/>
  <c r="L128" i="25"/>
  <c r="H128" i="25"/>
  <c r="H129" i="25" s="1"/>
  <c r="K129" i="25"/>
  <c r="I127" i="25"/>
  <c r="L126" i="25"/>
  <c r="L124" i="25"/>
  <c r="L123" i="25"/>
  <c r="L122" i="25"/>
  <c r="L121" i="25"/>
  <c r="L120" i="25"/>
  <c r="L119" i="25"/>
  <c r="L118" i="25"/>
  <c r="K118" i="25"/>
  <c r="J118" i="25"/>
  <c r="I118" i="25"/>
  <c r="H118" i="25"/>
  <c r="K117" i="25"/>
  <c r="I116" i="25"/>
  <c r="H116" i="25"/>
  <c r="L116" i="25" s="1"/>
  <c r="H114" i="25"/>
  <c r="H111" i="25"/>
  <c r="L110" i="25"/>
  <c r="L107" i="25"/>
  <c r="L106" i="25"/>
  <c r="G106" i="27" s="1"/>
  <c r="L105" i="25"/>
  <c r="L102" i="25"/>
  <c r="K102" i="25"/>
  <c r="J102" i="25"/>
  <c r="I102" i="25"/>
  <c r="H102" i="25"/>
  <c r="K99" i="25"/>
  <c r="J99" i="25"/>
  <c r="I99" i="25"/>
  <c r="H99" i="25"/>
  <c r="K98" i="25"/>
  <c r="J98" i="25"/>
  <c r="I98" i="25"/>
  <c r="H98" i="25"/>
  <c r="K97" i="25"/>
  <c r="J97" i="25"/>
  <c r="I97" i="25"/>
  <c r="H97" i="25"/>
  <c r="K96" i="25"/>
  <c r="J96" i="25"/>
  <c r="I96" i="25"/>
  <c r="H96" i="25"/>
  <c r="K95" i="25"/>
  <c r="J95" i="25"/>
  <c r="K94" i="25"/>
  <c r="J94" i="25"/>
  <c r="H94" i="25"/>
  <c r="K93" i="25"/>
  <c r="J93" i="25"/>
  <c r="K92" i="25"/>
  <c r="K91" i="25"/>
  <c r="J90" i="25"/>
  <c r="L89" i="25"/>
  <c r="K89" i="25"/>
  <c r="J89" i="25"/>
  <c r="I89" i="25"/>
  <c r="K88" i="25"/>
  <c r="J88" i="25"/>
  <c r="I88" i="25"/>
  <c r="L86" i="25"/>
  <c r="L99" i="25" s="1"/>
  <c r="L85" i="25"/>
  <c r="L98" i="25" s="1"/>
  <c r="L84" i="25"/>
  <c r="L97" i="25" s="1"/>
  <c r="L83" i="25"/>
  <c r="L96" i="25" s="1"/>
  <c r="H82" i="25"/>
  <c r="I94" i="25"/>
  <c r="H81" i="25"/>
  <c r="H80" i="25"/>
  <c r="H93" i="25" s="1"/>
  <c r="I92" i="25"/>
  <c r="H79" i="25"/>
  <c r="H92" i="25" s="1"/>
  <c r="I78" i="25"/>
  <c r="I91" i="25" s="1"/>
  <c r="H78" i="25"/>
  <c r="I77" i="25"/>
  <c r="I90" i="25" s="1"/>
  <c r="H77" i="25"/>
  <c r="H90" i="25" s="1"/>
  <c r="I76" i="25"/>
  <c r="I75" i="25"/>
  <c r="K74" i="25"/>
  <c r="I74" i="25"/>
  <c r="H74" i="25"/>
  <c r="I65" i="25"/>
  <c r="K66" i="25"/>
  <c r="J66" i="25"/>
  <c r="I66" i="25"/>
  <c r="H66" i="25"/>
  <c r="L62" i="25"/>
  <c r="L61" i="25"/>
  <c r="L60" i="25"/>
  <c r="L59" i="25"/>
  <c r="L58" i="25"/>
  <c r="L57" i="25"/>
  <c r="L56" i="25"/>
  <c r="L55" i="25"/>
  <c r="L54" i="25"/>
  <c r="L53" i="25"/>
  <c r="L52" i="25"/>
  <c r="G52" i="27" s="1"/>
  <c r="L51" i="25"/>
  <c r="L50" i="25"/>
  <c r="L49" i="25"/>
  <c r="G47" i="27"/>
  <c r="L44" i="25"/>
  <c r="L43" i="25"/>
  <c r="L42" i="25"/>
  <c r="K39" i="25"/>
  <c r="J39" i="25"/>
  <c r="I39" i="25"/>
  <c r="H39" i="25"/>
  <c r="L38" i="25"/>
  <c r="L37" i="25"/>
  <c r="L36" i="25"/>
  <c r="L35" i="25"/>
  <c r="L34" i="25"/>
  <c r="L33" i="25"/>
  <c r="L32" i="25"/>
  <c r="L31" i="25"/>
  <c r="L30" i="25"/>
  <c r="G30" i="27" s="1"/>
  <c r="H33" i="35" s="1"/>
  <c r="M29" i="25"/>
  <c r="L29" i="25"/>
  <c r="L27" i="25"/>
  <c r="L25" i="25"/>
  <c r="G25" i="27" s="1"/>
  <c r="L24" i="25"/>
  <c r="G24" i="27" s="1"/>
  <c r="L18" i="25"/>
  <c r="L17" i="25"/>
  <c r="L16" i="25"/>
  <c r="L15" i="25"/>
  <c r="H14" i="25"/>
  <c r="H13" i="25"/>
  <c r="L13" i="25" s="1"/>
  <c r="H12" i="25"/>
  <c r="L12" i="25" s="1"/>
  <c r="L11" i="25"/>
  <c r="G11" i="27" s="1"/>
  <c r="H43" i="31" s="1"/>
  <c r="L10" i="25"/>
  <c r="H10" i="25"/>
  <c r="L9" i="25"/>
  <c r="H9" i="25"/>
  <c r="H8" i="25"/>
  <c r="L8" i="25" s="1"/>
  <c r="H7" i="25"/>
  <c r="L7" i="25" s="1"/>
  <c r="H6" i="25"/>
  <c r="L3" i="25"/>
  <c r="L2" i="25"/>
  <c r="I125" i="24"/>
  <c r="L125" i="24" s="1"/>
  <c r="I125" i="21"/>
  <c r="H115" i="21"/>
  <c r="L115" i="21" s="1"/>
  <c r="J117" i="21"/>
  <c r="H113" i="21"/>
  <c r="L113" i="21" s="1"/>
  <c r="H112" i="21"/>
  <c r="I108" i="21"/>
  <c r="I107" i="21"/>
  <c r="L107" i="21" s="1"/>
  <c r="H105" i="21"/>
  <c r="H104" i="21"/>
  <c r="H128" i="21"/>
  <c r="L128" i="21" s="1"/>
  <c r="I127" i="21"/>
  <c r="L127" i="21" s="1"/>
  <c r="L126" i="21"/>
  <c r="L125" i="21"/>
  <c r="L124" i="21"/>
  <c r="L123" i="21"/>
  <c r="L122" i="21"/>
  <c r="L121" i="21"/>
  <c r="L120" i="21"/>
  <c r="L119" i="21"/>
  <c r="L118" i="21"/>
  <c r="K118" i="21"/>
  <c r="J118" i="21"/>
  <c r="I118" i="21"/>
  <c r="H118" i="21"/>
  <c r="K117" i="21"/>
  <c r="I116" i="21"/>
  <c r="H116" i="21"/>
  <c r="L116" i="21" s="1"/>
  <c r="H114" i="21"/>
  <c r="L112" i="21"/>
  <c r="H111" i="21"/>
  <c r="L111" i="21" s="1"/>
  <c r="F111" i="27" s="1"/>
  <c r="L110" i="21"/>
  <c r="L108" i="21"/>
  <c r="L106" i="21"/>
  <c r="F106" i="27" s="1"/>
  <c r="L105" i="21"/>
  <c r="L104" i="21"/>
  <c r="I108" i="24"/>
  <c r="I107" i="24"/>
  <c r="L105" i="24"/>
  <c r="E105" i="27" s="1"/>
  <c r="H104" i="24"/>
  <c r="L128" i="24"/>
  <c r="H128" i="24"/>
  <c r="I127" i="24"/>
  <c r="L126" i="24"/>
  <c r="L124" i="24"/>
  <c r="L123" i="24"/>
  <c r="L122" i="24"/>
  <c r="L121" i="24"/>
  <c r="L120" i="24"/>
  <c r="L119" i="24"/>
  <c r="L118" i="24"/>
  <c r="K118" i="24"/>
  <c r="J118" i="24"/>
  <c r="I118" i="24"/>
  <c r="H118" i="24"/>
  <c r="K117" i="24"/>
  <c r="I116" i="24"/>
  <c r="H116" i="24"/>
  <c r="H115" i="24"/>
  <c r="L115" i="24" s="1"/>
  <c r="J114" i="24"/>
  <c r="J117" i="24" s="1"/>
  <c r="I114" i="24"/>
  <c r="H114" i="24"/>
  <c r="H113" i="24"/>
  <c r="L113" i="24" s="1"/>
  <c r="H112" i="24"/>
  <c r="L112" i="24" s="1"/>
  <c r="H111" i="24"/>
  <c r="L111" i="24" s="1"/>
  <c r="E111" i="27" s="1"/>
  <c r="L110" i="24"/>
  <c r="L108" i="24"/>
  <c r="L107" i="24"/>
  <c r="L106" i="24"/>
  <c r="L104" i="24"/>
  <c r="L45" i="12"/>
  <c r="L43" i="12"/>
  <c r="L44" i="12"/>
  <c r="L42" i="12"/>
  <c r="L41" i="12"/>
  <c r="H14" i="21"/>
  <c r="H13" i="21"/>
  <c r="H12" i="21"/>
  <c r="H10" i="21"/>
  <c r="H9" i="21"/>
  <c r="H8" i="21"/>
  <c r="H7" i="21"/>
  <c r="H6" i="21"/>
  <c r="H173" i="21"/>
  <c r="H172" i="21"/>
  <c r="H168" i="21"/>
  <c r="H167" i="21"/>
  <c r="H178" i="21"/>
  <c r="H177" i="21"/>
  <c r="H176" i="21"/>
  <c r="H202" i="21"/>
  <c r="H200" i="21"/>
  <c r="H199" i="21"/>
  <c r="H196" i="21"/>
  <c r="H195" i="21"/>
  <c r="H194" i="21"/>
  <c r="H192" i="21"/>
  <c r="H202" i="24"/>
  <c r="H200" i="24"/>
  <c r="H199" i="24"/>
  <c r="H196" i="24"/>
  <c r="H195" i="24"/>
  <c r="H194" i="24"/>
  <c r="H192" i="24"/>
  <c r="H135" i="24"/>
  <c r="J79" i="24"/>
  <c r="H13" i="24"/>
  <c r="H12" i="24"/>
  <c r="H10" i="24"/>
  <c r="H9" i="24"/>
  <c r="H8" i="24"/>
  <c r="H7" i="24"/>
  <c r="H6" i="24"/>
  <c r="H12" i="22"/>
  <c r="L12" i="22" s="1"/>
  <c r="L20" i="12"/>
  <c r="L19" i="12"/>
  <c r="L18" i="12"/>
  <c r="L17" i="12"/>
  <c r="L16" i="12"/>
  <c r="F108" i="25"/>
  <c r="G108" i="28" s="1"/>
  <c r="D79" i="24"/>
  <c r="D79" i="25"/>
  <c r="J79" i="21"/>
  <c r="D79" i="21"/>
  <c r="F200" i="25"/>
  <c r="F199" i="25"/>
  <c r="N197" i="25"/>
  <c r="F194" i="25"/>
  <c r="G194" i="28" s="1"/>
  <c r="N192" i="25"/>
  <c r="N178" i="25"/>
  <c r="N177" i="25"/>
  <c r="Q127" i="25"/>
  <c r="F125" i="25"/>
  <c r="G125" i="28" s="1"/>
  <c r="F121" i="25"/>
  <c r="G121" i="28" s="1"/>
  <c r="N112" i="25"/>
  <c r="N106" i="25"/>
  <c r="F105" i="25"/>
  <c r="G105" i="28" s="1"/>
  <c r="N104" i="25"/>
  <c r="C82" i="25"/>
  <c r="C95" i="25" s="1"/>
  <c r="C81" i="25"/>
  <c r="C80" i="25"/>
  <c r="R221" i="25"/>
  <c r="Q221" i="25"/>
  <c r="P221" i="25"/>
  <c r="O221" i="25"/>
  <c r="N221" i="25"/>
  <c r="F221" i="25"/>
  <c r="E221" i="25"/>
  <c r="D221" i="25"/>
  <c r="C221" i="25"/>
  <c r="B221" i="25"/>
  <c r="A221" i="25"/>
  <c r="Q217" i="25"/>
  <c r="P217" i="25"/>
  <c r="O217" i="25"/>
  <c r="N217" i="25"/>
  <c r="Q216" i="25"/>
  <c r="P216" i="25"/>
  <c r="O216" i="25"/>
  <c r="N216" i="25"/>
  <c r="F216" i="25"/>
  <c r="Q215" i="25"/>
  <c r="P215" i="25"/>
  <c r="O215" i="25"/>
  <c r="N215" i="25"/>
  <c r="F215" i="25"/>
  <c r="Q214" i="25"/>
  <c r="P214" i="25"/>
  <c r="O214" i="25"/>
  <c r="N214" i="25"/>
  <c r="F214" i="25"/>
  <c r="Q213" i="25"/>
  <c r="P213" i="25"/>
  <c r="O213" i="25"/>
  <c r="N213" i="25"/>
  <c r="F213" i="25"/>
  <c r="G213" i="28" s="1"/>
  <c r="Q212" i="25"/>
  <c r="P212" i="25"/>
  <c r="O212" i="25"/>
  <c r="N212" i="25"/>
  <c r="F212" i="25"/>
  <c r="G212" i="28" s="1"/>
  <c r="Q211" i="25"/>
  <c r="P211" i="25"/>
  <c r="O211" i="25"/>
  <c r="N211" i="25"/>
  <c r="F211" i="25"/>
  <c r="G211" i="28" s="1"/>
  <c r="Q210" i="25"/>
  <c r="P210" i="25"/>
  <c r="O210" i="25"/>
  <c r="N210" i="25"/>
  <c r="F210" i="25"/>
  <c r="G210" i="28" s="1"/>
  <c r="Q209" i="25"/>
  <c r="P209" i="25"/>
  <c r="O209" i="25"/>
  <c r="N209" i="25"/>
  <c r="F209" i="25"/>
  <c r="G209" i="28" s="1"/>
  <c r="Q208" i="25"/>
  <c r="P208" i="25"/>
  <c r="O208" i="25"/>
  <c r="N208" i="25"/>
  <c r="F208" i="25"/>
  <c r="G208" i="28" s="1"/>
  <c r="Q207" i="25"/>
  <c r="P207" i="25"/>
  <c r="O207" i="25"/>
  <c r="F207" i="25"/>
  <c r="G207" i="28" s="1"/>
  <c r="E203" i="25"/>
  <c r="D203" i="25"/>
  <c r="C203" i="25"/>
  <c r="Q202" i="25"/>
  <c r="P202" i="25"/>
  <c r="O202" i="25"/>
  <c r="N202" i="25"/>
  <c r="F202" i="25"/>
  <c r="Q201" i="25"/>
  <c r="P201" i="25"/>
  <c r="O201" i="25"/>
  <c r="N201" i="25"/>
  <c r="F201" i="25"/>
  <c r="Q200" i="25"/>
  <c r="P200" i="25"/>
  <c r="O200" i="25"/>
  <c r="Q199" i="25"/>
  <c r="P199" i="25"/>
  <c r="O199" i="25"/>
  <c r="N199" i="25"/>
  <c r="Q198" i="25"/>
  <c r="P198" i="25"/>
  <c r="O198" i="25"/>
  <c r="Q197" i="25"/>
  <c r="P197" i="25"/>
  <c r="O197" i="25"/>
  <c r="Q196" i="25"/>
  <c r="P196" i="25"/>
  <c r="O196" i="25"/>
  <c r="F196" i="25"/>
  <c r="G196" i="28" s="1"/>
  <c r="Q195" i="25"/>
  <c r="P195" i="25"/>
  <c r="O195" i="25"/>
  <c r="Q194" i="25"/>
  <c r="P194" i="25"/>
  <c r="O194" i="25"/>
  <c r="Q193" i="25"/>
  <c r="P193" i="25"/>
  <c r="O193" i="25"/>
  <c r="N193" i="25"/>
  <c r="F193" i="25"/>
  <c r="G193" i="28" s="1"/>
  <c r="Q192" i="25"/>
  <c r="P192" i="25"/>
  <c r="O192" i="25"/>
  <c r="F192" i="25"/>
  <c r="G192" i="28" s="1"/>
  <c r="B191" i="25"/>
  <c r="D190" i="25"/>
  <c r="C190" i="25"/>
  <c r="Q189" i="25"/>
  <c r="P189" i="25"/>
  <c r="O189" i="25"/>
  <c r="N189" i="25"/>
  <c r="F189" i="25"/>
  <c r="Q188" i="25"/>
  <c r="P188" i="25"/>
  <c r="O188" i="25"/>
  <c r="N188" i="25"/>
  <c r="F188" i="25"/>
  <c r="Q187" i="25"/>
  <c r="P187" i="25"/>
  <c r="O187" i="25"/>
  <c r="N187" i="25"/>
  <c r="F187" i="25"/>
  <c r="Q186" i="25"/>
  <c r="P186" i="25"/>
  <c r="O186" i="25"/>
  <c r="N186" i="25"/>
  <c r="F186" i="25"/>
  <c r="Q185" i="25"/>
  <c r="P185" i="25"/>
  <c r="O185" i="25"/>
  <c r="N185" i="25"/>
  <c r="F185" i="25"/>
  <c r="Q184" i="25"/>
  <c r="P184" i="25"/>
  <c r="O184" i="25"/>
  <c r="N184" i="25"/>
  <c r="B184" i="25"/>
  <c r="F184" i="25" s="1"/>
  <c r="Q183" i="25"/>
  <c r="P183" i="25"/>
  <c r="O183" i="25"/>
  <c r="N183" i="25"/>
  <c r="F183" i="25"/>
  <c r="Q182" i="25"/>
  <c r="P182" i="25"/>
  <c r="O182" i="25"/>
  <c r="N182" i="25"/>
  <c r="F182" i="25"/>
  <c r="P181" i="25"/>
  <c r="O181" i="25"/>
  <c r="N181" i="25"/>
  <c r="N190" i="25" s="1"/>
  <c r="B181" i="25"/>
  <c r="B190" i="25" s="1"/>
  <c r="R180" i="25"/>
  <c r="R191" i="25" s="1"/>
  <c r="Q180" i="25"/>
  <c r="Q191" i="25" s="1"/>
  <c r="P180" i="25"/>
  <c r="P191" i="25" s="1"/>
  <c r="O180" i="25"/>
  <c r="O191" i="25" s="1"/>
  <c r="N180" i="25"/>
  <c r="N191" i="25" s="1"/>
  <c r="F180" i="25"/>
  <c r="F191" i="25" s="1"/>
  <c r="E180" i="25"/>
  <c r="E191" i="25" s="1"/>
  <c r="D180" i="25"/>
  <c r="D191" i="25" s="1"/>
  <c r="C180" i="25"/>
  <c r="C191" i="25" s="1"/>
  <c r="B180" i="25"/>
  <c r="E179" i="25"/>
  <c r="D179" i="25"/>
  <c r="C179" i="25"/>
  <c r="Q178" i="25"/>
  <c r="P178" i="25"/>
  <c r="O178" i="25"/>
  <c r="Q177" i="25"/>
  <c r="P177" i="25"/>
  <c r="O177" i="25"/>
  <c r="Q176" i="25"/>
  <c r="P176" i="25"/>
  <c r="O176" i="25"/>
  <c r="E174" i="25"/>
  <c r="D174" i="25"/>
  <c r="C174" i="25"/>
  <c r="Q173" i="25"/>
  <c r="P173" i="25"/>
  <c r="O173" i="25"/>
  <c r="F173" i="25"/>
  <c r="B173" i="25"/>
  <c r="N173" i="25" s="1"/>
  <c r="Q172" i="25"/>
  <c r="P172" i="25"/>
  <c r="O172" i="25"/>
  <c r="B172" i="25"/>
  <c r="Q171" i="25"/>
  <c r="P171" i="25"/>
  <c r="O171" i="25"/>
  <c r="R171" i="25" s="1"/>
  <c r="N171" i="25"/>
  <c r="F171" i="25"/>
  <c r="Q170" i="25"/>
  <c r="P170" i="25"/>
  <c r="O170" i="25"/>
  <c r="N170" i="25"/>
  <c r="F170" i="25"/>
  <c r="G170" i="28" s="1"/>
  <c r="Q169" i="25"/>
  <c r="P169" i="25"/>
  <c r="O169" i="25"/>
  <c r="N169" i="25"/>
  <c r="F169" i="25"/>
  <c r="Q168" i="25"/>
  <c r="P168" i="25"/>
  <c r="O168" i="25"/>
  <c r="N168" i="25"/>
  <c r="F168" i="25"/>
  <c r="G168" i="28" s="1"/>
  <c r="Q167" i="25"/>
  <c r="Q174" i="25" s="1"/>
  <c r="P167" i="25"/>
  <c r="O167" i="25"/>
  <c r="F167" i="25"/>
  <c r="G167" i="28" s="1"/>
  <c r="N167" i="25"/>
  <c r="O166" i="25"/>
  <c r="E165" i="25"/>
  <c r="Q164" i="25"/>
  <c r="P164" i="25"/>
  <c r="O164" i="25"/>
  <c r="N164" i="25"/>
  <c r="Q163" i="25"/>
  <c r="P163" i="25"/>
  <c r="O163" i="25"/>
  <c r="Q162" i="25"/>
  <c r="P162" i="25"/>
  <c r="O162" i="25"/>
  <c r="Q161" i="25"/>
  <c r="P161" i="25"/>
  <c r="O161" i="25"/>
  <c r="Q160" i="25"/>
  <c r="P160" i="25"/>
  <c r="O160" i="25"/>
  <c r="N160" i="25"/>
  <c r="F160" i="25"/>
  <c r="Q159" i="25"/>
  <c r="P159" i="25"/>
  <c r="O159" i="25"/>
  <c r="Q158" i="25"/>
  <c r="P158" i="25"/>
  <c r="O158" i="25"/>
  <c r="N158" i="25"/>
  <c r="F158" i="25"/>
  <c r="Q157" i="25"/>
  <c r="P157" i="25"/>
  <c r="O157" i="25"/>
  <c r="N157" i="25"/>
  <c r="F157" i="25"/>
  <c r="G157" i="28" s="1"/>
  <c r="Q156" i="25"/>
  <c r="P156" i="25"/>
  <c r="O156" i="25"/>
  <c r="Q155" i="25"/>
  <c r="P155" i="25"/>
  <c r="O155" i="25"/>
  <c r="Q154" i="25"/>
  <c r="P154" i="25"/>
  <c r="O154" i="25"/>
  <c r="N154" i="25"/>
  <c r="F154" i="25"/>
  <c r="Q153" i="25"/>
  <c r="O153" i="25"/>
  <c r="N153" i="25"/>
  <c r="Q152" i="25"/>
  <c r="P152" i="25"/>
  <c r="N152" i="25"/>
  <c r="F152" i="25"/>
  <c r="G152" i="28" s="1"/>
  <c r="R151" i="25"/>
  <c r="R166" i="25" s="1"/>
  <c r="Q151" i="25"/>
  <c r="Q166" i="25" s="1"/>
  <c r="P151" i="25"/>
  <c r="P166" i="25" s="1"/>
  <c r="O151" i="25"/>
  <c r="N151" i="25"/>
  <c r="N166" i="25" s="1"/>
  <c r="F151" i="25"/>
  <c r="F166" i="25" s="1"/>
  <c r="E151" i="25"/>
  <c r="E166" i="25" s="1"/>
  <c r="D151" i="25"/>
  <c r="D166" i="25" s="1"/>
  <c r="C151" i="25"/>
  <c r="C166" i="25" s="1"/>
  <c r="B151" i="25"/>
  <c r="B166" i="25" s="1"/>
  <c r="E150" i="25"/>
  <c r="Q149" i="25"/>
  <c r="P149" i="25"/>
  <c r="O149" i="25"/>
  <c r="N149" i="25"/>
  <c r="Q148" i="25"/>
  <c r="D150" i="25"/>
  <c r="N148" i="25"/>
  <c r="Q147" i="25"/>
  <c r="P147" i="25"/>
  <c r="O147" i="25"/>
  <c r="Q146" i="25"/>
  <c r="P146" i="25"/>
  <c r="Q145" i="25"/>
  <c r="P145" i="25"/>
  <c r="O145" i="25"/>
  <c r="Q144" i="25"/>
  <c r="P144" i="25"/>
  <c r="C150" i="25"/>
  <c r="Q143" i="25"/>
  <c r="P143" i="25"/>
  <c r="O143" i="25"/>
  <c r="N143" i="25"/>
  <c r="F143" i="25"/>
  <c r="Q142" i="25"/>
  <c r="P142" i="25"/>
  <c r="O142" i="25"/>
  <c r="N142" i="25"/>
  <c r="F142" i="25"/>
  <c r="G142" i="28" s="1"/>
  <c r="Q141" i="25"/>
  <c r="P141" i="25"/>
  <c r="O141" i="25"/>
  <c r="N141" i="25"/>
  <c r="F141" i="25"/>
  <c r="Q140" i="25"/>
  <c r="P140" i="25"/>
  <c r="O140" i="25"/>
  <c r="R139" i="25"/>
  <c r="Q139" i="25"/>
  <c r="P139" i="25"/>
  <c r="O139" i="25"/>
  <c r="N139" i="25"/>
  <c r="F139" i="25"/>
  <c r="E139" i="25"/>
  <c r="D139" i="25"/>
  <c r="C139" i="25"/>
  <c r="B139" i="25"/>
  <c r="Q135" i="25"/>
  <c r="P135" i="25"/>
  <c r="O135" i="25"/>
  <c r="B135" i="25"/>
  <c r="Q134" i="25"/>
  <c r="P134" i="25"/>
  <c r="O134" i="25"/>
  <c r="N134" i="25"/>
  <c r="F134" i="25"/>
  <c r="E129" i="25"/>
  <c r="B129" i="25"/>
  <c r="Q128" i="25"/>
  <c r="P128" i="25"/>
  <c r="O128" i="25"/>
  <c r="F128" i="25"/>
  <c r="B128" i="25"/>
  <c r="P127" i="25"/>
  <c r="N127" i="25"/>
  <c r="C127" i="25"/>
  <c r="C129" i="25" s="1"/>
  <c r="Q126" i="25"/>
  <c r="P126" i="25"/>
  <c r="O126" i="25"/>
  <c r="N126" i="25"/>
  <c r="R126" i="25" s="1"/>
  <c r="F126" i="25"/>
  <c r="Q125" i="25"/>
  <c r="P125" i="25"/>
  <c r="N125" i="25"/>
  <c r="Q124" i="25"/>
  <c r="P124" i="25"/>
  <c r="O124" i="25"/>
  <c r="N124" i="25"/>
  <c r="F124" i="25"/>
  <c r="Q123" i="25"/>
  <c r="P123" i="25"/>
  <c r="O123" i="25"/>
  <c r="N123" i="25"/>
  <c r="F123" i="25"/>
  <c r="Q122" i="25"/>
  <c r="P122" i="25"/>
  <c r="O122" i="25"/>
  <c r="N122" i="25"/>
  <c r="F122" i="25"/>
  <c r="Q121" i="25"/>
  <c r="O121" i="25"/>
  <c r="N121" i="25"/>
  <c r="Q120" i="25"/>
  <c r="P120" i="25"/>
  <c r="O120" i="25"/>
  <c r="N120" i="25"/>
  <c r="F120" i="25"/>
  <c r="Q119" i="25"/>
  <c r="P119" i="25"/>
  <c r="O119" i="25"/>
  <c r="N119" i="25"/>
  <c r="R119" i="25" s="1"/>
  <c r="F119" i="25"/>
  <c r="R118" i="25"/>
  <c r="Q118" i="25"/>
  <c r="P118" i="25"/>
  <c r="O118" i="25"/>
  <c r="N118" i="25"/>
  <c r="F118" i="25"/>
  <c r="E118" i="25"/>
  <c r="D118" i="25"/>
  <c r="C118" i="25"/>
  <c r="B118" i="25"/>
  <c r="E117" i="25"/>
  <c r="E130" i="25" s="1"/>
  <c r="E132" i="25" s="1"/>
  <c r="Q116" i="25"/>
  <c r="P116" i="25"/>
  <c r="O116" i="25"/>
  <c r="C116" i="25"/>
  <c r="B116" i="25"/>
  <c r="N116" i="25" s="1"/>
  <c r="Q115" i="25"/>
  <c r="P115" i="25"/>
  <c r="O115" i="25"/>
  <c r="Q114" i="25"/>
  <c r="C117" i="25"/>
  <c r="B114" i="25"/>
  <c r="Q113" i="25"/>
  <c r="P113" i="25"/>
  <c r="O113" i="25"/>
  <c r="Q112" i="25"/>
  <c r="P112" i="25"/>
  <c r="O112" i="25"/>
  <c r="Q111" i="25"/>
  <c r="O111" i="25"/>
  <c r="F111" i="25"/>
  <c r="G111" i="28" s="1"/>
  <c r="B111" i="25"/>
  <c r="Q110" i="25"/>
  <c r="P110" i="25"/>
  <c r="O110" i="25"/>
  <c r="N110" i="25"/>
  <c r="F110" i="25"/>
  <c r="Q109" i="25"/>
  <c r="P109" i="25"/>
  <c r="O109" i="25"/>
  <c r="Q108" i="25"/>
  <c r="P108" i="25"/>
  <c r="O108" i="25"/>
  <c r="N108" i="25"/>
  <c r="Q107" i="25"/>
  <c r="P107" i="25"/>
  <c r="O107" i="25"/>
  <c r="N107" i="25"/>
  <c r="F107" i="25"/>
  <c r="G107" i="28" s="1"/>
  <c r="Q106" i="25"/>
  <c r="P106" i="25"/>
  <c r="O106" i="25"/>
  <c r="Q105" i="25"/>
  <c r="P105" i="25"/>
  <c r="O105" i="25"/>
  <c r="Q104" i="25"/>
  <c r="P104" i="25"/>
  <c r="O104" i="25"/>
  <c r="F104" i="25"/>
  <c r="G104" i="28" s="1"/>
  <c r="R102" i="25"/>
  <c r="Q102" i="25"/>
  <c r="P102" i="25"/>
  <c r="O102" i="25"/>
  <c r="N102" i="25"/>
  <c r="F102" i="25"/>
  <c r="E102" i="25"/>
  <c r="D102" i="25"/>
  <c r="C102" i="25"/>
  <c r="B102" i="25"/>
  <c r="E99" i="25"/>
  <c r="D99" i="25"/>
  <c r="C99" i="25"/>
  <c r="B99" i="25"/>
  <c r="E98" i="25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E94" i="25"/>
  <c r="D94" i="25"/>
  <c r="E93" i="25"/>
  <c r="D93" i="25"/>
  <c r="E92" i="25"/>
  <c r="E91" i="25"/>
  <c r="D90" i="25"/>
  <c r="C90" i="25"/>
  <c r="Q89" i="25"/>
  <c r="O89" i="25"/>
  <c r="E89" i="25"/>
  <c r="D89" i="25"/>
  <c r="F89" i="25" s="1"/>
  <c r="C89" i="25"/>
  <c r="A89" i="25"/>
  <c r="Q88" i="25"/>
  <c r="P88" i="25"/>
  <c r="O88" i="25"/>
  <c r="E88" i="25"/>
  <c r="D88" i="25"/>
  <c r="C88" i="25"/>
  <c r="Q86" i="25"/>
  <c r="Q99" i="25" s="1"/>
  <c r="P86" i="25"/>
  <c r="P99" i="25" s="1"/>
  <c r="O86" i="25"/>
  <c r="N86" i="25"/>
  <c r="N99" i="25" s="1"/>
  <c r="F86" i="25"/>
  <c r="F99" i="25" s="1"/>
  <c r="Q85" i="25"/>
  <c r="Q98" i="25" s="1"/>
  <c r="P85" i="25"/>
  <c r="P98" i="25" s="1"/>
  <c r="O85" i="25"/>
  <c r="O98" i="25" s="1"/>
  <c r="N85" i="25"/>
  <c r="N98" i="25" s="1"/>
  <c r="F85" i="25"/>
  <c r="F98" i="25" s="1"/>
  <c r="Q84" i="25"/>
  <c r="P84" i="25"/>
  <c r="P97" i="25" s="1"/>
  <c r="O84" i="25"/>
  <c r="O97" i="25" s="1"/>
  <c r="N84" i="25"/>
  <c r="N97" i="25" s="1"/>
  <c r="F84" i="25"/>
  <c r="F97" i="25" s="1"/>
  <c r="Q83" i="25"/>
  <c r="Q96" i="25" s="1"/>
  <c r="P83" i="25"/>
  <c r="O83" i="25"/>
  <c r="O96" i="25" s="1"/>
  <c r="N83" i="25"/>
  <c r="N96" i="25" s="1"/>
  <c r="F83" i="25"/>
  <c r="F96" i="25" s="1"/>
  <c r="Q82" i="25"/>
  <c r="Q95" i="25" s="1"/>
  <c r="P82" i="25"/>
  <c r="P95" i="25" s="1"/>
  <c r="B82" i="25"/>
  <c r="N82" i="25" s="1"/>
  <c r="Q81" i="25"/>
  <c r="Q94" i="25" s="1"/>
  <c r="P81" i="25"/>
  <c r="P94" i="25" s="1"/>
  <c r="C94" i="25"/>
  <c r="B81" i="25"/>
  <c r="B94" i="25" s="1"/>
  <c r="Q80" i="25"/>
  <c r="Q93" i="25" s="1"/>
  <c r="P80" i="25"/>
  <c r="P93" i="25" s="1"/>
  <c r="C93" i="25"/>
  <c r="B80" i="25"/>
  <c r="B93" i="25" s="1"/>
  <c r="Q79" i="25"/>
  <c r="Q92" i="25" s="1"/>
  <c r="C79" i="25"/>
  <c r="C92" i="25" s="1"/>
  <c r="B79" i="25"/>
  <c r="B92" i="25" s="1"/>
  <c r="Q78" i="25"/>
  <c r="Q91" i="25" s="1"/>
  <c r="D78" i="25"/>
  <c r="D91" i="25" s="1"/>
  <c r="C78" i="25"/>
  <c r="O78" i="25" s="1"/>
  <c r="O91" i="25" s="1"/>
  <c r="B78" i="25"/>
  <c r="B91" i="25" s="1"/>
  <c r="P77" i="25"/>
  <c r="P90" i="25" s="1"/>
  <c r="C77" i="25"/>
  <c r="B77" i="25"/>
  <c r="Q76" i="25"/>
  <c r="P76" i="25"/>
  <c r="P89" i="25" s="1"/>
  <c r="R89" i="25" s="1"/>
  <c r="C76" i="25"/>
  <c r="O76" i="25" s="1"/>
  <c r="Q75" i="25"/>
  <c r="P75" i="25"/>
  <c r="C75" i="25"/>
  <c r="Q74" i="25"/>
  <c r="O74" i="25"/>
  <c r="N74" i="25"/>
  <c r="E74" i="25"/>
  <c r="C74" i="25"/>
  <c r="B74" i="25"/>
  <c r="C65" i="25"/>
  <c r="E66" i="25"/>
  <c r="D66" i="25"/>
  <c r="C66" i="25"/>
  <c r="B66" i="25"/>
  <c r="Q62" i="25"/>
  <c r="P62" i="25"/>
  <c r="O62" i="25"/>
  <c r="N62" i="25"/>
  <c r="F62" i="25"/>
  <c r="Q61" i="25"/>
  <c r="P61" i="25"/>
  <c r="O61" i="25"/>
  <c r="O65" i="25" s="1"/>
  <c r="N61" i="25"/>
  <c r="R61" i="25" s="1"/>
  <c r="F61" i="25"/>
  <c r="Q60" i="25"/>
  <c r="P60" i="25"/>
  <c r="O60" i="25"/>
  <c r="N60" i="25"/>
  <c r="F60" i="25"/>
  <c r="Q59" i="25"/>
  <c r="P59" i="25"/>
  <c r="O59" i="25"/>
  <c r="N59" i="25"/>
  <c r="F59" i="25"/>
  <c r="Q58" i="25"/>
  <c r="P58" i="25"/>
  <c r="O58" i="25"/>
  <c r="N58" i="25"/>
  <c r="F58" i="25"/>
  <c r="Q57" i="25"/>
  <c r="P57" i="25"/>
  <c r="O57" i="25"/>
  <c r="N57" i="25"/>
  <c r="R57" i="25" s="1"/>
  <c r="F57" i="25"/>
  <c r="Q56" i="25"/>
  <c r="P56" i="25"/>
  <c r="O56" i="25"/>
  <c r="N56" i="25"/>
  <c r="F56" i="25"/>
  <c r="Q55" i="25"/>
  <c r="P55" i="25"/>
  <c r="O55" i="25"/>
  <c r="N55" i="25"/>
  <c r="F55" i="25"/>
  <c r="Q54" i="25"/>
  <c r="P54" i="25"/>
  <c r="O54" i="25"/>
  <c r="N54" i="25"/>
  <c r="F54" i="25"/>
  <c r="Q53" i="25"/>
  <c r="P53" i="25"/>
  <c r="O53" i="25"/>
  <c r="N53" i="25"/>
  <c r="F53" i="25"/>
  <c r="Q52" i="25"/>
  <c r="P52" i="25"/>
  <c r="O52" i="25"/>
  <c r="N52" i="25"/>
  <c r="F52" i="25"/>
  <c r="Q51" i="25"/>
  <c r="P51" i="25"/>
  <c r="O51" i="25"/>
  <c r="N51" i="25"/>
  <c r="F51" i="25"/>
  <c r="Q50" i="25"/>
  <c r="P50" i="25"/>
  <c r="O50" i="25"/>
  <c r="N50" i="25"/>
  <c r="R50" i="25" s="1"/>
  <c r="F50" i="25"/>
  <c r="Q49" i="25"/>
  <c r="P49" i="25"/>
  <c r="O49" i="25"/>
  <c r="N49" i="25"/>
  <c r="F49" i="25"/>
  <c r="Q48" i="25"/>
  <c r="P48" i="25"/>
  <c r="O48" i="25"/>
  <c r="N48" i="25"/>
  <c r="F48" i="25"/>
  <c r="Q47" i="25"/>
  <c r="P47" i="25"/>
  <c r="O47" i="25"/>
  <c r="N47" i="25"/>
  <c r="F47" i="25"/>
  <c r="Q46" i="25"/>
  <c r="P46" i="25"/>
  <c r="O46" i="25"/>
  <c r="N46" i="25"/>
  <c r="F46" i="25"/>
  <c r="Q45" i="25"/>
  <c r="P45" i="25"/>
  <c r="O45" i="25"/>
  <c r="N45" i="25"/>
  <c r="Q44" i="25"/>
  <c r="P44" i="25"/>
  <c r="O44" i="25"/>
  <c r="N44" i="25"/>
  <c r="F44" i="25"/>
  <c r="Q43" i="25"/>
  <c r="P43" i="25"/>
  <c r="O43" i="25"/>
  <c r="N43" i="25"/>
  <c r="F43" i="25"/>
  <c r="Q42" i="25"/>
  <c r="P42" i="25"/>
  <c r="O42" i="25"/>
  <c r="N42" i="25"/>
  <c r="F42" i="25"/>
  <c r="E39" i="25"/>
  <c r="D39" i="25"/>
  <c r="C39" i="25"/>
  <c r="O136" i="25" s="1"/>
  <c r="B39" i="25"/>
  <c r="Q38" i="25"/>
  <c r="P38" i="25"/>
  <c r="O38" i="25"/>
  <c r="N38" i="25"/>
  <c r="F38" i="25"/>
  <c r="Q37" i="25"/>
  <c r="P37" i="25"/>
  <c r="O37" i="25"/>
  <c r="N37" i="25"/>
  <c r="F37" i="25"/>
  <c r="Q36" i="25"/>
  <c r="P36" i="25"/>
  <c r="O36" i="25"/>
  <c r="N36" i="25"/>
  <c r="F36" i="25"/>
  <c r="Q35" i="25"/>
  <c r="P35" i="25"/>
  <c r="O35" i="25"/>
  <c r="N35" i="25"/>
  <c r="F35" i="25"/>
  <c r="Q34" i="25"/>
  <c r="P34" i="25"/>
  <c r="O34" i="25"/>
  <c r="N34" i="25"/>
  <c r="F34" i="25"/>
  <c r="Q33" i="25"/>
  <c r="P33" i="25"/>
  <c r="O33" i="25"/>
  <c r="N33" i="25"/>
  <c r="F33" i="25"/>
  <c r="Q32" i="25"/>
  <c r="P32" i="25"/>
  <c r="O32" i="25"/>
  <c r="N32" i="25"/>
  <c r="F32" i="25"/>
  <c r="Q31" i="25"/>
  <c r="P31" i="25"/>
  <c r="O31" i="25"/>
  <c r="N31" i="25"/>
  <c r="F31" i="25"/>
  <c r="Q30" i="25"/>
  <c r="P30" i="25"/>
  <c r="O30" i="25"/>
  <c r="N30" i="25"/>
  <c r="F30" i="25"/>
  <c r="Q29" i="25"/>
  <c r="P29" i="25"/>
  <c r="O29" i="25"/>
  <c r="N29" i="25"/>
  <c r="F29" i="25"/>
  <c r="G29" i="25" s="1"/>
  <c r="R27" i="25"/>
  <c r="F27" i="25"/>
  <c r="Q26" i="25"/>
  <c r="P26" i="25"/>
  <c r="N26" i="25"/>
  <c r="F26" i="25"/>
  <c r="F25" i="25"/>
  <c r="Q24" i="25"/>
  <c r="P24" i="25"/>
  <c r="O24" i="25"/>
  <c r="N24" i="25"/>
  <c r="F24" i="25"/>
  <c r="Q23" i="25"/>
  <c r="P23" i="25"/>
  <c r="N23" i="25"/>
  <c r="F23" i="25"/>
  <c r="Q22" i="25"/>
  <c r="P22" i="25"/>
  <c r="O22" i="25"/>
  <c r="N22" i="25"/>
  <c r="F22" i="25"/>
  <c r="N18" i="25"/>
  <c r="R18" i="25" s="1"/>
  <c r="F18" i="25"/>
  <c r="N17" i="25"/>
  <c r="R17" i="25" s="1"/>
  <c r="F17" i="25"/>
  <c r="N16" i="25"/>
  <c r="R16" i="25" s="1"/>
  <c r="F16" i="25"/>
  <c r="N15" i="25"/>
  <c r="R15" i="25" s="1"/>
  <c r="F15" i="25"/>
  <c r="B14" i="25"/>
  <c r="F14" i="25" s="1"/>
  <c r="B13" i="25"/>
  <c r="F12" i="25"/>
  <c r="B12" i="25"/>
  <c r="B11" i="25"/>
  <c r="N11" i="25" s="1"/>
  <c r="R11" i="25" s="1"/>
  <c r="G11" i="26" s="1"/>
  <c r="B10" i="25"/>
  <c r="F10" i="25" s="1"/>
  <c r="B9" i="25"/>
  <c r="F8" i="25"/>
  <c r="B8" i="25"/>
  <c r="B7" i="25"/>
  <c r="N7" i="25" s="1"/>
  <c r="R7" i="25" s="1"/>
  <c r="B6" i="25"/>
  <c r="F6" i="25" s="1"/>
  <c r="R3" i="25"/>
  <c r="F3" i="25"/>
  <c r="N2" i="25"/>
  <c r="R2" i="25" s="1"/>
  <c r="G2" i="26" s="1"/>
  <c r="F2" i="25"/>
  <c r="F63" i="25" l="1"/>
  <c r="G44" i="28"/>
  <c r="G63" i="28" s="1"/>
  <c r="G66" i="28" s="1"/>
  <c r="G67" i="28" s="1"/>
  <c r="R44" i="25"/>
  <c r="N63" i="25"/>
  <c r="G174" i="28"/>
  <c r="G39" i="27"/>
  <c r="G65" i="27" s="1"/>
  <c r="H37" i="30"/>
  <c r="H96" i="30"/>
  <c r="D56" i="34"/>
  <c r="C56" i="34" s="1"/>
  <c r="D86" i="34"/>
  <c r="C86" i="34" s="1"/>
  <c r="D74" i="34"/>
  <c r="C74" i="34" s="1"/>
  <c r="D32" i="34"/>
  <c r="C32" i="34" s="1"/>
  <c r="D35" i="34"/>
  <c r="C35" i="34" s="1"/>
  <c r="D14" i="34"/>
  <c r="C14" i="34" s="1"/>
  <c r="D96" i="34"/>
  <c r="C96" i="34" s="1"/>
  <c r="H66" i="31"/>
  <c r="H22" i="31"/>
  <c r="H30" i="35"/>
  <c r="H31" i="30"/>
  <c r="H45" i="30" s="1"/>
  <c r="H38" i="35"/>
  <c r="H41" i="35" s="1"/>
  <c r="H43" i="30"/>
  <c r="D94" i="33"/>
  <c r="C94" i="33" s="1"/>
  <c r="D29" i="33"/>
  <c r="C29" i="33" s="1"/>
  <c r="D68" i="33"/>
  <c r="C68" i="33" s="1"/>
  <c r="D58" i="33"/>
  <c r="D20" i="33"/>
  <c r="C20" i="33" s="1"/>
  <c r="D30" i="33"/>
  <c r="C30" i="33" s="1"/>
  <c r="D70" i="33"/>
  <c r="C70" i="33" s="1"/>
  <c r="D93" i="33"/>
  <c r="G97" i="33"/>
  <c r="H97" i="33" s="1"/>
  <c r="I97" i="33" s="1"/>
  <c r="J97" i="33" s="1"/>
  <c r="K97" i="33" s="1"/>
  <c r="L97" i="33" s="1"/>
  <c r="M97" i="33" s="1"/>
  <c r="N97" i="33" s="1"/>
  <c r="O97" i="33" s="1"/>
  <c r="P97" i="33" s="1"/>
  <c r="D76" i="33"/>
  <c r="C76" i="33" s="1"/>
  <c r="D54" i="33"/>
  <c r="C54" i="33" s="1"/>
  <c r="D27" i="33"/>
  <c r="C27" i="33" s="1"/>
  <c r="D74" i="33"/>
  <c r="C74" i="33" s="1"/>
  <c r="D48" i="33"/>
  <c r="C48" i="33" s="1"/>
  <c r="D22" i="33"/>
  <c r="G19" i="33"/>
  <c r="D9" i="33"/>
  <c r="D72" i="33"/>
  <c r="C72" i="33" s="1"/>
  <c r="D23" i="33"/>
  <c r="C23" i="33" s="1"/>
  <c r="D26" i="33"/>
  <c r="C26" i="33" s="1"/>
  <c r="G63" i="27"/>
  <c r="D45" i="34"/>
  <c r="E27" i="31"/>
  <c r="E71" i="31"/>
  <c r="H72" i="31"/>
  <c r="H28" i="31"/>
  <c r="F17" i="29"/>
  <c r="F61" i="29"/>
  <c r="H20" i="29"/>
  <c r="H64" i="29"/>
  <c r="H23" i="29"/>
  <c r="H67" i="29"/>
  <c r="F71" i="31"/>
  <c r="F27" i="31"/>
  <c r="H26" i="29"/>
  <c r="H70" i="29"/>
  <c r="F28" i="29"/>
  <c r="F72" i="29"/>
  <c r="F20" i="29"/>
  <c r="F64" i="29"/>
  <c r="F23" i="29"/>
  <c r="F67" i="29"/>
  <c r="N11" i="26"/>
  <c r="H43" i="29"/>
  <c r="F70" i="29"/>
  <c r="F26" i="29"/>
  <c r="E62" i="29"/>
  <c r="E18" i="29"/>
  <c r="H19" i="29"/>
  <c r="H63" i="29"/>
  <c r="H65" i="29"/>
  <c r="H21" i="29"/>
  <c r="E72" i="29"/>
  <c r="E28" i="29"/>
  <c r="H29" i="29"/>
  <c r="H73" i="29"/>
  <c r="F62" i="29"/>
  <c r="F18" i="29"/>
  <c r="E64" i="29"/>
  <c r="E20" i="29"/>
  <c r="E23" i="29"/>
  <c r="E67" i="29"/>
  <c r="H70" i="31"/>
  <c r="H51" i="31"/>
  <c r="N51" i="31" s="1"/>
  <c r="H26" i="31"/>
  <c r="F28" i="31"/>
  <c r="F72" i="31"/>
  <c r="H17" i="29"/>
  <c r="H51" i="29"/>
  <c r="N51" i="29" s="1"/>
  <c r="H61" i="29"/>
  <c r="F21" i="29"/>
  <c r="F65" i="29"/>
  <c r="E70" i="29"/>
  <c r="E26" i="29"/>
  <c r="H27" i="29"/>
  <c r="H71" i="29"/>
  <c r="F29" i="29"/>
  <c r="F73" i="29"/>
  <c r="F70" i="31"/>
  <c r="F26" i="31"/>
  <c r="N19" i="26"/>
  <c r="H24" i="29"/>
  <c r="H68" i="29"/>
  <c r="E72" i="31"/>
  <c r="E28" i="31"/>
  <c r="H73" i="31"/>
  <c r="H29" i="31"/>
  <c r="E65" i="29"/>
  <c r="E21" i="29"/>
  <c r="E73" i="29"/>
  <c r="E29" i="29"/>
  <c r="H75" i="30"/>
  <c r="F19" i="29"/>
  <c r="F63" i="29"/>
  <c r="F24" i="29"/>
  <c r="F68" i="29"/>
  <c r="E70" i="31"/>
  <c r="E26" i="31"/>
  <c r="H71" i="31"/>
  <c r="H27" i="31"/>
  <c r="F73" i="31"/>
  <c r="F29" i="31"/>
  <c r="E17" i="29"/>
  <c r="E61" i="29"/>
  <c r="H18" i="29"/>
  <c r="H62" i="29"/>
  <c r="E71" i="29"/>
  <c r="E27" i="29"/>
  <c r="H28" i="29"/>
  <c r="H72" i="29"/>
  <c r="H69" i="29"/>
  <c r="H25" i="29"/>
  <c r="F27" i="29"/>
  <c r="F71" i="29"/>
  <c r="E19" i="29"/>
  <c r="E63" i="29"/>
  <c r="E29" i="31"/>
  <c r="E73" i="31"/>
  <c r="E69" i="29"/>
  <c r="E25" i="29"/>
  <c r="G3" i="28"/>
  <c r="G3" i="26"/>
  <c r="G3" i="27"/>
  <c r="G2" i="27"/>
  <c r="G2" i="28"/>
  <c r="G66" i="27"/>
  <c r="G67" i="27" s="1"/>
  <c r="E131" i="25"/>
  <c r="F66" i="25"/>
  <c r="N80" i="25"/>
  <c r="N93" i="25" s="1"/>
  <c r="C91" i="25"/>
  <c r="F127" i="25"/>
  <c r="G127" i="28" s="1"/>
  <c r="G129" i="28" s="1"/>
  <c r="D117" i="25"/>
  <c r="H19" i="25"/>
  <c r="L147" i="25" s="1"/>
  <c r="G147" i="27" s="1"/>
  <c r="F7" i="25"/>
  <c r="B5" i="25"/>
  <c r="B203" i="25" s="1"/>
  <c r="F11" i="25"/>
  <c r="R31" i="25"/>
  <c r="R35" i="25"/>
  <c r="R58" i="25"/>
  <c r="B65" i="25"/>
  <c r="F114" i="25"/>
  <c r="G114" i="28" s="1"/>
  <c r="O144" i="25"/>
  <c r="F148" i="25"/>
  <c r="G148" i="28" s="1"/>
  <c r="Q179" i="25"/>
  <c r="R189" i="25"/>
  <c r="R199" i="25"/>
  <c r="R211" i="25"/>
  <c r="G211" i="26" s="1"/>
  <c r="R215" i="25"/>
  <c r="G215" i="26" s="1"/>
  <c r="G230" i="26" s="1"/>
  <c r="R216" i="25"/>
  <c r="R112" i="25"/>
  <c r="G112" i="26" s="1"/>
  <c r="L6" i="25"/>
  <c r="O127" i="25"/>
  <c r="I82" i="25"/>
  <c r="N113" i="25"/>
  <c r="R113" i="25" s="1"/>
  <c r="G113" i="26" s="1"/>
  <c r="L114" i="21"/>
  <c r="F114" i="27" s="1"/>
  <c r="F117" i="27" s="1"/>
  <c r="F130" i="27" s="1"/>
  <c r="R42" i="25"/>
  <c r="C130" i="25"/>
  <c r="N14" i="25"/>
  <c r="R14" i="25" s="1"/>
  <c r="L39" i="25"/>
  <c r="L65" i="25" s="1"/>
  <c r="H109" i="25"/>
  <c r="L109" i="25" s="1"/>
  <c r="H65" i="25"/>
  <c r="H67" i="25" s="1"/>
  <c r="H156" i="25" s="1"/>
  <c r="L156" i="25" s="1"/>
  <c r="G156" i="27" s="1"/>
  <c r="K130" i="25"/>
  <c r="K131" i="25" s="1"/>
  <c r="N8" i="25"/>
  <c r="R8" i="25" s="1"/>
  <c r="R29" i="25"/>
  <c r="R60" i="25"/>
  <c r="N114" i="25"/>
  <c r="R154" i="25"/>
  <c r="O174" i="25"/>
  <c r="O179" i="25"/>
  <c r="R187" i="25"/>
  <c r="R188" i="25"/>
  <c r="Q203" i="25"/>
  <c r="R209" i="25"/>
  <c r="G209" i="26" s="1"/>
  <c r="F109" i="25"/>
  <c r="G109" i="28" s="1"/>
  <c r="L114" i="24"/>
  <c r="E114" i="27" s="1"/>
  <c r="L116" i="24"/>
  <c r="L14" i="25"/>
  <c r="I150" i="25"/>
  <c r="R142" i="25"/>
  <c r="G142" i="26" s="1"/>
  <c r="L66" i="25"/>
  <c r="I93" i="25"/>
  <c r="Q165" i="25"/>
  <c r="I165" i="25"/>
  <c r="O152" i="25"/>
  <c r="L127" i="24"/>
  <c r="I129" i="25"/>
  <c r="L113" i="25"/>
  <c r="L111" i="25"/>
  <c r="G111" i="27" s="1"/>
  <c r="L114" i="25"/>
  <c r="G114" i="27" s="1"/>
  <c r="I67" i="25"/>
  <c r="I133" i="25" s="1"/>
  <c r="L81" i="25"/>
  <c r="R24" i="25"/>
  <c r="G24" i="26" s="1"/>
  <c r="O23" i="25"/>
  <c r="R23" i="25" s="1"/>
  <c r="G23" i="26" s="1"/>
  <c r="L23" i="25"/>
  <c r="G23" i="27" s="1"/>
  <c r="R22" i="25"/>
  <c r="G22" i="26" s="1"/>
  <c r="L26" i="25"/>
  <c r="G26" i="27" s="1"/>
  <c r="O26" i="25"/>
  <c r="R26" i="25" s="1"/>
  <c r="G26" i="26" s="1"/>
  <c r="H117" i="25"/>
  <c r="H130" i="25" s="1"/>
  <c r="J131" i="25"/>
  <c r="L145" i="25"/>
  <c r="G145" i="27" s="1"/>
  <c r="L19" i="25"/>
  <c r="L144" i="25"/>
  <c r="G144" i="27" s="1"/>
  <c r="L146" i="25"/>
  <c r="G146" i="27" s="1"/>
  <c r="L136" i="25"/>
  <c r="G136" i="27" s="1"/>
  <c r="J92" i="25"/>
  <c r="H95" i="25"/>
  <c r="I117" i="25"/>
  <c r="J150" i="25"/>
  <c r="R37" i="25"/>
  <c r="R52" i="25"/>
  <c r="G52" i="26" s="1"/>
  <c r="H16" i="35" s="1"/>
  <c r="R85" i="25"/>
  <c r="R98" i="25" s="1"/>
  <c r="Q117" i="25"/>
  <c r="N111" i="25"/>
  <c r="R173" i="25"/>
  <c r="L22" i="25"/>
  <c r="G22" i="27" s="1"/>
  <c r="H179" i="25"/>
  <c r="L192" i="25"/>
  <c r="R120" i="25"/>
  <c r="P179" i="25"/>
  <c r="R186" i="25"/>
  <c r="R201" i="25"/>
  <c r="P203" i="25"/>
  <c r="R116" i="25"/>
  <c r="R34" i="25"/>
  <c r="R36" i="25"/>
  <c r="R49" i="25"/>
  <c r="R51" i="25"/>
  <c r="R86" i="25"/>
  <c r="R99" i="25" s="1"/>
  <c r="R169" i="25"/>
  <c r="R170" i="25"/>
  <c r="G170" i="26" s="1"/>
  <c r="R185" i="25"/>
  <c r="O203" i="25"/>
  <c r="N115" i="25"/>
  <c r="R115" i="25" s="1"/>
  <c r="G115" i="26" s="1"/>
  <c r="R197" i="25"/>
  <c r="G197" i="26" s="1"/>
  <c r="J65" i="25"/>
  <c r="J67" i="25" s="1"/>
  <c r="J133" i="25" s="1"/>
  <c r="J78" i="25"/>
  <c r="L80" i="25"/>
  <c r="H91" i="25"/>
  <c r="L104" i="25"/>
  <c r="L127" i="25"/>
  <c r="L129" i="25" s="1"/>
  <c r="L167" i="25"/>
  <c r="L174" i="25" s="1"/>
  <c r="O39" i="25"/>
  <c r="R54" i="25"/>
  <c r="R30" i="25"/>
  <c r="G30" i="26" s="1"/>
  <c r="O77" i="25"/>
  <c r="O90" i="25" s="1"/>
  <c r="R108" i="25"/>
  <c r="G108" i="26" s="1"/>
  <c r="R110" i="25"/>
  <c r="Q150" i="25"/>
  <c r="R182" i="25"/>
  <c r="R213" i="25"/>
  <c r="G213" i="26" s="1"/>
  <c r="R214" i="25"/>
  <c r="G214" i="26" s="1"/>
  <c r="N176" i="25"/>
  <c r="N179" i="25" s="1"/>
  <c r="H5" i="25"/>
  <c r="K65" i="25"/>
  <c r="K67" i="25" s="1"/>
  <c r="K133" i="25" s="1"/>
  <c r="R33" i="25"/>
  <c r="R38" i="25"/>
  <c r="R48" i="25"/>
  <c r="R53" i="25"/>
  <c r="R59" i="25"/>
  <c r="R143" i="25"/>
  <c r="R157" i="25"/>
  <c r="G157" i="26" s="1"/>
  <c r="R202" i="25"/>
  <c r="R208" i="25"/>
  <c r="G208" i="26" s="1"/>
  <c r="R210" i="25"/>
  <c r="G210" i="26" s="1"/>
  <c r="R56" i="25"/>
  <c r="R123" i="25"/>
  <c r="R184" i="25"/>
  <c r="R194" i="25"/>
  <c r="G194" i="26" s="1"/>
  <c r="R178" i="25"/>
  <c r="G178" i="26" s="1"/>
  <c r="I117" i="21"/>
  <c r="I117" i="24"/>
  <c r="R207" i="25"/>
  <c r="G207" i="26" s="1"/>
  <c r="G228" i="26" s="1"/>
  <c r="N12" i="25"/>
  <c r="R12" i="25" s="1"/>
  <c r="B67" i="25"/>
  <c r="B156" i="25" s="1"/>
  <c r="C67" i="25"/>
  <c r="F178" i="25"/>
  <c r="G178" i="28" s="1"/>
  <c r="B179" i="25"/>
  <c r="F176" i="25"/>
  <c r="G176" i="28" s="1"/>
  <c r="C165" i="25"/>
  <c r="R152" i="25"/>
  <c r="G152" i="26" s="1"/>
  <c r="O125" i="25"/>
  <c r="R125" i="25" s="1"/>
  <c r="G125" i="26" s="1"/>
  <c r="P121" i="25"/>
  <c r="R121" i="25" s="1"/>
  <c r="G121" i="26" s="1"/>
  <c r="D129" i="25"/>
  <c r="F106" i="25"/>
  <c r="G106" i="28" s="1"/>
  <c r="N105" i="25"/>
  <c r="R105" i="25" s="1"/>
  <c r="G105" i="26" s="1"/>
  <c r="C87" i="25"/>
  <c r="F81" i="25"/>
  <c r="F94" i="25" s="1"/>
  <c r="B76" i="25"/>
  <c r="F5" i="25"/>
  <c r="F88" i="25" s="1"/>
  <c r="B89" i="25"/>
  <c r="P39" i="25"/>
  <c r="P65" i="25" s="1"/>
  <c r="P66" i="25"/>
  <c r="N95" i="25"/>
  <c r="R32" i="25"/>
  <c r="Q66" i="25"/>
  <c r="R62" i="25"/>
  <c r="Q97" i="25"/>
  <c r="R84" i="25"/>
  <c r="R97" i="25" s="1"/>
  <c r="P111" i="25"/>
  <c r="R111" i="25" s="1"/>
  <c r="G111" i="26" s="1"/>
  <c r="N136" i="25"/>
  <c r="Q39" i="25"/>
  <c r="Q65" i="25" s="1"/>
  <c r="D92" i="25"/>
  <c r="D100" i="25" s="1"/>
  <c r="D87" i="25"/>
  <c r="F79" i="25"/>
  <c r="F92" i="25" s="1"/>
  <c r="P96" i="25"/>
  <c r="R83" i="25"/>
  <c r="R96" i="25" s="1"/>
  <c r="N135" i="25"/>
  <c r="R135" i="25" s="1"/>
  <c r="G135" i="26" s="1"/>
  <c r="F135" i="25"/>
  <c r="N13" i="25"/>
  <c r="R13" i="25" s="1"/>
  <c r="F13" i="25"/>
  <c r="N39" i="25"/>
  <c r="N65" i="25" s="1"/>
  <c r="F39" i="25"/>
  <c r="D65" i="25"/>
  <c r="D67" i="25" s="1"/>
  <c r="P136" i="25"/>
  <c r="R47" i="25"/>
  <c r="G47" i="26" s="1"/>
  <c r="H8" i="35" s="1"/>
  <c r="Q136" i="25"/>
  <c r="E65" i="25"/>
  <c r="E67" i="25" s="1"/>
  <c r="B19" i="25"/>
  <c r="N9" i="25"/>
  <c r="R9" i="25" s="1"/>
  <c r="F9" i="25"/>
  <c r="N6" i="25"/>
  <c r="N10" i="25"/>
  <c r="R10" i="25" s="1"/>
  <c r="N66" i="25"/>
  <c r="R43" i="25"/>
  <c r="R55" i="25"/>
  <c r="O66" i="25"/>
  <c r="O67" i="25" s="1"/>
  <c r="P79" i="25"/>
  <c r="P92" i="25" s="1"/>
  <c r="O80" i="25"/>
  <c r="O93" i="25" s="1"/>
  <c r="N109" i="25"/>
  <c r="R109" i="25" s="1"/>
  <c r="G109" i="26" s="1"/>
  <c r="O165" i="25"/>
  <c r="R168" i="25"/>
  <c r="G168" i="26" s="1"/>
  <c r="N172" i="25"/>
  <c r="R172" i="25" s="1"/>
  <c r="F172" i="25"/>
  <c r="F174" i="25" s="1"/>
  <c r="P190" i="25"/>
  <c r="R212" i="25"/>
  <c r="G212" i="26" s="1"/>
  <c r="F82" i="25"/>
  <c r="F95" i="25" s="1"/>
  <c r="B90" i="25"/>
  <c r="B95" i="25"/>
  <c r="Q129" i="25"/>
  <c r="R122" i="25"/>
  <c r="R158" i="25"/>
  <c r="R167" i="25"/>
  <c r="G167" i="26" s="1"/>
  <c r="R193" i="25"/>
  <c r="G193" i="26" s="1"/>
  <c r="R104" i="25"/>
  <c r="G104" i="26" s="1"/>
  <c r="O190" i="25"/>
  <c r="O75" i="25"/>
  <c r="F80" i="25"/>
  <c r="F93" i="25" s="1"/>
  <c r="O81" i="25"/>
  <c r="O94" i="25" s="1"/>
  <c r="F113" i="25"/>
  <c r="G113" i="28" s="1"/>
  <c r="P114" i="25"/>
  <c r="F115" i="25"/>
  <c r="G115" i="28" s="1"/>
  <c r="R141" i="25"/>
  <c r="O146" i="25"/>
  <c r="P174" i="25"/>
  <c r="R177" i="25"/>
  <c r="G177" i="26" s="1"/>
  <c r="R192" i="25"/>
  <c r="G192" i="26" s="1"/>
  <c r="F197" i="25"/>
  <c r="G197" i="28" s="1"/>
  <c r="R200" i="25"/>
  <c r="N78" i="25"/>
  <c r="F78" i="25"/>
  <c r="F91" i="25" s="1"/>
  <c r="N81" i="25"/>
  <c r="N79" i="25"/>
  <c r="O99" i="25"/>
  <c r="R107" i="25"/>
  <c r="G107" i="26" s="1"/>
  <c r="F112" i="25"/>
  <c r="G112" i="28" s="1"/>
  <c r="F116" i="25"/>
  <c r="F129" i="25"/>
  <c r="N128" i="25"/>
  <c r="R128" i="25" s="1"/>
  <c r="R176" i="25"/>
  <c r="R183" i="25"/>
  <c r="N196" i="25"/>
  <c r="R196" i="25" s="1"/>
  <c r="G196" i="26" s="1"/>
  <c r="N77" i="25"/>
  <c r="C100" i="25"/>
  <c r="O148" i="25"/>
  <c r="O79" i="25"/>
  <c r="O92" i="25" s="1"/>
  <c r="R106" i="25"/>
  <c r="G106" i="26" s="1"/>
  <c r="R124" i="25"/>
  <c r="R127" i="25"/>
  <c r="G127" i="26" s="1"/>
  <c r="R160" i="25"/>
  <c r="F195" i="25"/>
  <c r="G195" i="28" s="1"/>
  <c r="N195" i="25"/>
  <c r="R195" i="25" s="1"/>
  <c r="G195" i="26" s="1"/>
  <c r="O114" i="25"/>
  <c r="O117" i="25" s="1"/>
  <c r="B117" i="25"/>
  <c r="B130" i="25" s="1"/>
  <c r="B174" i="25"/>
  <c r="F177" i="25"/>
  <c r="G177" i="28" s="1"/>
  <c r="F134" i="21"/>
  <c r="B173" i="21"/>
  <c r="B172" i="21"/>
  <c r="R63" i="25" l="1"/>
  <c r="G44" i="26"/>
  <c r="G174" i="26"/>
  <c r="G179" i="28"/>
  <c r="R179" i="25"/>
  <c r="G176" i="26"/>
  <c r="G179" i="26" s="1"/>
  <c r="R136" i="25"/>
  <c r="G136" i="26" s="1"/>
  <c r="C131" i="25"/>
  <c r="G129" i="26"/>
  <c r="D130" i="25"/>
  <c r="G117" i="28"/>
  <c r="G130" i="28" s="1"/>
  <c r="G70" i="28" s="1"/>
  <c r="F100" i="25"/>
  <c r="G88" i="28"/>
  <c r="H11" i="35"/>
  <c r="G39" i="26"/>
  <c r="G65" i="26" s="1"/>
  <c r="H44" i="35"/>
  <c r="H19" i="33"/>
  <c r="P45" i="30"/>
  <c r="G117" i="27"/>
  <c r="G130" i="27" s="1"/>
  <c r="G70" i="27" s="1"/>
  <c r="M109" i="27"/>
  <c r="F71" i="27"/>
  <c r="G42" i="35"/>
  <c r="L110" i="27"/>
  <c r="D97" i="33"/>
  <c r="C97" i="33" s="1"/>
  <c r="L109" i="27"/>
  <c r="C45" i="34"/>
  <c r="H30" i="31"/>
  <c r="N30" i="31" s="1"/>
  <c r="H22" i="29"/>
  <c r="H30" i="29" s="1"/>
  <c r="N30" i="29" s="1"/>
  <c r="H66" i="29"/>
  <c r="H74" i="29" s="1"/>
  <c r="N74" i="29" s="1"/>
  <c r="H92" i="30"/>
  <c r="H71" i="30"/>
  <c r="H104" i="30"/>
  <c r="H83" i="30"/>
  <c r="H74" i="31"/>
  <c r="N74" i="31" s="1"/>
  <c r="G216" i="28"/>
  <c r="G216" i="27"/>
  <c r="G216" i="26"/>
  <c r="Q133" i="25"/>
  <c r="H133" i="25"/>
  <c r="L67" i="25"/>
  <c r="L94" i="25"/>
  <c r="G94" i="27" s="1"/>
  <c r="G81" i="27"/>
  <c r="L93" i="25"/>
  <c r="G93" i="27" s="1"/>
  <c r="G80" i="27"/>
  <c r="M19" i="25"/>
  <c r="G19" i="27"/>
  <c r="F70" i="27"/>
  <c r="O150" i="25"/>
  <c r="I130" i="25"/>
  <c r="I131" i="25" s="1"/>
  <c r="O131" i="25" s="1"/>
  <c r="F117" i="25"/>
  <c r="F130" i="25" s="1"/>
  <c r="Q130" i="25"/>
  <c r="B88" i="25"/>
  <c r="B163" i="25" s="1"/>
  <c r="K77" i="25"/>
  <c r="L77" i="25" s="1"/>
  <c r="K181" i="25"/>
  <c r="L181" i="25" s="1"/>
  <c r="H155" i="25"/>
  <c r="L155" i="25" s="1"/>
  <c r="G155" i="27" s="1"/>
  <c r="L153" i="25"/>
  <c r="G153" i="27" s="1"/>
  <c r="L159" i="25"/>
  <c r="G159" i="27" s="1"/>
  <c r="O133" i="25"/>
  <c r="K137" i="25"/>
  <c r="K138" i="25" s="1"/>
  <c r="P148" i="25"/>
  <c r="L148" i="25"/>
  <c r="G148" i="27" s="1"/>
  <c r="O132" i="25"/>
  <c r="J137" i="25"/>
  <c r="J138" i="25" s="1"/>
  <c r="J91" i="25"/>
  <c r="J100" i="25" s="1"/>
  <c r="J87" i="25"/>
  <c r="P78" i="25"/>
  <c r="P91" i="25" s="1"/>
  <c r="P100" i="25" s="1"/>
  <c r="L133" i="25"/>
  <c r="G133" i="27" s="1"/>
  <c r="L78" i="25"/>
  <c r="P117" i="25"/>
  <c r="L117" i="25"/>
  <c r="L130" i="25" s="1"/>
  <c r="L71" i="25" s="1"/>
  <c r="H131" i="25"/>
  <c r="I95" i="25"/>
  <c r="I100" i="25" s="1"/>
  <c r="I87" i="25"/>
  <c r="R66" i="25"/>
  <c r="N174" i="25"/>
  <c r="R39" i="25"/>
  <c r="R65" i="25" s="1"/>
  <c r="L79" i="25"/>
  <c r="L140" i="25"/>
  <c r="G140" i="27" s="1"/>
  <c r="H150" i="25"/>
  <c r="L82" i="25"/>
  <c r="Q67" i="25"/>
  <c r="L5" i="25"/>
  <c r="H88" i="25"/>
  <c r="N198" i="25"/>
  <c r="H76" i="25"/>
  <c r="L76" i="25" s="1"/>
  <c r="G76" i="27" s="1"/>
  <c r="H89" i="25"/>
  <c r="N67" i="25"/>
  <c r="D131" i="25"/>
  <c r="D137" i="25" s="1"/>
  <c r="D138" i="25" s="1"/>
  <c r="P67" i="25"/>
  <c r="F179" i="25"/>
  <c r="O129" i="25"/>
  <c r="P129" i="25"/>
  <c r="R129" i="25"/>
  <c r="R80" i="25"/>
  <c r="R6" i="25"/>
  <c r="N5" i="25"/>
  <c r="N19" i="25"/>
  <c r="R19" i="25" s="1"/>
  <c r="G19" i="26" s="1"/>
  <c r="H53" i="30" s="1"/>
  <c r="P133" i="25"/>
  <c r="R133" i="25" s="1"/>
  <c r="N133" i="25"/>
  <c r="F133" i="25"/>
  <c r="G133" i="28" s="1"/>
  <c r="N94" i="25"/>
  <c r="R81" i="25"/>
  <c r="F156" i="25"/>
  <c r="G156" i="28" s="1"/>
  <c r="N156" i="25"/>
  <c r="R156" i="25" s="1"/>
  <c r="G156" i="26" s="1"/>
  <c r="P132" i="25"/>
  <c r="B162" i="25"/>
  <c r="O82" i="25"/>
  <c r="O130" i="25"/>
  <c r="F136" i="25"/>
  <c r="F65" i="25"/>
  <c r="F67" i="25" s="1"/>
  <c r="B131" i="25"/>
  <c r="N91" i="25"/>
  <c r="Q132" i="25"/>
  <c r="F198" i="25"/>
  <c r="N75" i="25"/>
  <c r="N117" i="25"/>
  <c r="N90" i="25"/>
  <c r="E137" i="25"/>
  <c r="E138" i="25" s="1"/>
  <c r="F76" i="25"/>
  <c r="G76" i="28" s="1"/>
  <c r="R114" i="25"/>
  <c r="N92" i="25"/>
  <c r="R79" i="25"/>
  <c r="R174" i="25"/>
  <c r="N129" i="25"/>
  <c r="E181" i="25"/>
  <c r="B155" i="25"/>
  <c r="F19" i="25"/>
  <c r="C137" i="25"/>
  <c r="C138" i="25" s="1"/>
  <c r="C205" i="25" s="1"/>
  <c r="C218" i="25" s="1"/>
  <c r="C219" i="25" s="1"/>
  <c r="B87" i="25"/>
  <c r="F75" i="25"/>
  <c r="G75" i="28" s="1"/>
  <c r="B128" i="21"/>
  <c r="K136" i="21"/>
  <c r="D129" i="21"/>
  <c r="F115" i="21"/>
  <c r="F115" i="28" s="1"/>
  <c r="N106" i="21"/>
  <c r="F108" i="21"/>
  <c r="F108" i="28" s="1"/>
  <c r="I81" i="21"/>
  <c r="I94" i="21" s="1"/>
  <c r="I80" i="21"/>
  <c r="C82" i="21"/>
  <c r="C95" i="21" s="1"/>
  <c r="C81" i="21"/>
  <c r="C80" i="21"/>
  <c r="J92" i="21"/>
  <c r="R221" i="21"/>
  <c r="Q221" i="21"/>
  <c r="P221" i="21"/>
  <c r="O221" i="21"/>
  <c r="N221" i="21"/>
  <c r="L221" i="21"/>
  <c r="K221" i="21"/>
  <c r="J221" i="21"/>
  <c r="I221" i="21"/>
  <c r="H221" i="21"/>
  <c r="F221" i="21"/>
  <c r="E221" i="21"/>
  <c r="D221" i="21"/>
  <c r="C221" i="21"/>
  <c r="B221" i="21"/>
  <c r="A221" i="21"/>
  <c r="Q217" i="21"/>
  <c r="P217" i="21"/>
  <c r="O217" i="21"/>
  <c r="N217" i="21"/>
  <c r="Q216" i="21"/>
  <c r="P216" i="21"/>
  <c r="O216" i="21"/>
  <c r="N216" i="21"/>
  <c r="L216" i="21"/>
  <c r="F216" i="21"/>
  <c r="Q215" i="21"/>
  <c r="P215" i="21"/>
  <c r="O215" i="21"/>
  <c r="N215" i="21"/>
  <c r="L215" i="21"/>
  <c r="F215" i="21"/>
  <c r="Q214" i="21"/>
  <c r="P214" i="21"/>
  <c r="O214" i="21"/>
  <c r="N214" i="21"/>
  <c r="L214" i="21"/>
  <c r="F214" i="21"/>
  <c r="Q213" i="21"/>
  <c r="P213" i="21"/>
  <c r="O213" i="21"/>
  <c r="N213" i="21"/>
  <c r="L213" i="21"/>
  <c r="F213" i="27" s="1"/>
  <c r="F213" i="21"/>
  <c r="F213" i="28" s="1"/>
  <c r="Q212" i="21"/>
  <c r="P212" i="21"/>
  <c r="O212" i="21"/>
  <c r="N212" i="21"/>
  <c r="L212" i="21"/>
  <c r="F212" i="27" s="1"/>
  <c r="F212" i="21"/>
  <c r="F212" i="28" s="1"/>
  <c r="Q211" i="21"/>
  <c r="P211" i="21"/>
  <c r="O211" i="21"/>
  <c r="N211" i="21"/>
  <c r="L211" i="21"/>
  <c r="F211" i="27" s="1"/>
  <c r="F211" i="21"/>
  <c r="F211" i="28" s="1"/>
  <c r="Q210" i="21"/>
  <c r="P210" i="21"/>
  <c r="O210" i="21"/>
  <c r="N210" i="21"/>
  <c r="L210" i="21"/>
  <c r="F210" i="27" s="1"/>
  <c r="F210" i="21"/>
  <c r="F210" i="28" s="1"/>
  <c r="Q209" i="21"/>
  <c r="P209" i="21"/>
  <c r="O209" i="21"/>
  <c r="N209" i="21"/>
  <c r="L209" i="21"/>
  <c r="F209" i="27" s="1"/>
  <c r="F229" i="27" s="1"/>
  <c r="F231" i="27" s="1"/>
  <c r="F209" i="21"/>
  <c r="F209" i="28" s="1"/>
  <c r="Q208" i="21"/>
  <c r="P208" i="21"/>
  <c r="O208" i="21"/>
  <c r="N208" i="21"/>
  <c r="L208" i="21"/>
  <c r="F208" i="21"/>
  <c r="F208" i="28" s="1"/>
  <c r="Q207" i="21"/>
  <c r="P207" i="21"/>
  <c r="O207" i="21"/>
  <c r="F207" i="21"/>
  <c r="F207" i="28" s="1"/>
  <c r="K203" i="21"/>
  <c r="J203" i="21"/>
  <c r="I203" i="21"/>
  <c r="E203" i="21"/>
  <c r="D203" i="21"/>
  <c r="C203" i="21"/>
  <c r="Q202" i="21"/>
  <c r="P202" i="21"/>
  <c r="O202" i="21"/>
  <c r="L202" i="21"/>
  <c r="Q201" i="21"/>
  <c r="P201" i="21"/>
  <c r="O201" i="21"/>
  <c r="N201" i="21"/>
  <c r="L201" i="21"/>
  <c r="F201" i="21"/>
  <c r="Q200" i="21"/>
  <c r="P200" i="21"/>
  <c r="O200" i="21"/>
  <c r="L200" i="21"/>
  <c r="Q199" i="21"/>
  <c r="P199" i="21"/>
  <c r="O199" i="21"/>
  <c r="N199" i="21"/>
  <c r="L199" i="21"/>
  <c r="F199" i="21"/>
  <c r="Q198" i="21"/>
  <c r="P198" i="21"/>
  <c r="O198" i="21"/>
  <c r="Q197" i="21"/>
  <c r="P197" i="21"/>
  <c r="O197" i="21"/>
  <c r="L197" i="21"/>
  <c r="F197" i="27" s="1"/>
  <c r="F197" i="21"/>
  <c r="F197" i="28" s="1"/>
  <c r="N197" i="21"/>
  <c r="R197" i="21" s="1"/>
  <c r="F197" i="26" s="1"/>
  <c r="Q196" i="21"/>
  <c r="P196" i="21"/>
  <c r="O196" i="21"/>
  <c r="L196" i="21"/>
  <c r="F196" i="21"/>
  <c r="F196" i="28" s="1"/>
  <c r="N196" i="21"/>
  <c r="Q195" i="21"/>
  <c r="P195" i="21"/>
  <c r="O195" i="21"/>
  <c r="L195" i="21"/>
  <c r="N195" i="21"/>
  <c r="F195" i="21"/>
  <c r="F195" i="28" s="1"/>
  <c r="Q194" i="21"/>
  <c r="P194" i="21"/>
  <c r="O194" i="21"/>
  <c r="N194" i="21"/>
  <c r="R194" i="21" s="1"/>
  <c r="F194" i="26" s="1"/>
  <c r="L194" i="21"/>
  <c r="F194" i="21"/>
  <c r="F194" i="28" s="1"/>
  <c r="Q193" i="21"/>
  <c r="P193" i="21"/>
  <c r="O193" i="21"/>
  <c r="N193" i="21"/>
  <c r="L193" i="21"/>
  <c r="F193" i="21"/>
  <c r="F193" i="28" s="1"/>
  <c r="Q192" i="21"/>
  <c r="P192" i="21"/>
  <c r="O192" i="21"/>
  <c r="N192" i="21"/>
  <c r="L192" i="21"/>
  <c r="F192" i="21"/>
  <c r="F192" i="28" s="1"/>
  <c r="O191" i="21"/>
  <c r="E191" i="21"/>
  <c r="J190" i="21"/>
  <c r="I190" i="21"/>
  <c r="D190" i="21"/>
  <c r="C190" i="21"/>
  <c r="B190" i="21"/>
  <c r="Q189" i="21"/>
  <c r="P189" i="21"/>
  <c r="O189" i="21"/>
  <c r="N189" i="21"/>
  <c r="R189" i="21" s="1"/>
  <c r="L189" i="21"/>
  <c r="F189" i="21"/>
  <c r="Q188" i="21"/>
  <c r="P188" i="21"/>
  <c r="O188" i="21"/>
  <c r="N188" i="21"/>
  <c r="L188" i="21"/>
  <c r="F188" i="21"/>
  <c r="Q187" i="21"/>
  <c r="P187" i="21"/>
  <c r="O187" i="21"/>
  <c r="N187" i="21"/>
  <c r="R187" i="21" s="1"/>
  <c r="L187" i="21"/>
  <c r="F187" i="21"/>
  <c r="Q186" i="21"/>
  <c r="P186" i="21"/>
  <c r="O186" i="21"/>
  <c r="N186" i="21"/>
  <c r="R186" i="21" s="1"/>
  <c r="L186" i="21"/>
  <c r="F186" i="21"/>
  <c r="Q185" i="21"/>
  <c r="P185" i="21"/>
  <c r="O185" i="21"/>
  <c r="N185" i="21"/>
  <c r="L185" i="21"/>
  <c r="F185" i="21"/>
  <c r="Q184" i="21"/>
  <c r="P184" i="21"/>
  <c r="O184" i="21"/>
  <c r="H184" i="21"/>
  <c r="L184" i="21" s="1"/>
  <c r="F184" i="21"/>
  <c r="B184" i="21"/>
  <c r="Q183" i="21"/>
  <c r="P183" i="21"/>
  <c r="O183" i="21"/>
  <c r="N183" i="21"/>
  <c r="L183" i="21"/>
  <c r="F183" i="21"/>
  <c r="Q182" i="21"/>
  <c r="P182" i="21"/>
  <c r="O182" i="21"/>
  <c r="N182" i="21"/>
  <c r="R182" i="21" s="1"/>
  <c r="L182" i="21"/>
  <c r="F182" i="21"/>
  <c r="P181" i="21"/>
  <c r="O181" i="21"/>
  <c r="B181" i="21"/>
  <c r="N181" i="21" s="1"/>
  <c r="R180" i="21"/>
  <c r="R191" i="21" s="1"/>
  <c r="Q180" i="21"/>
  <c r="Q191" i="21" s="1"/>
  <c r="P180" i="21"/>
  <c r="P191" i="21" s="1"/>
  <c r="O180" i="21"/>
  <c r="N180" i="21"/>
  <c r="N191" i="21" s="1"/>
  <c r="L180" i="21"/>
  <c r="L191" i="21" s="1"/>
  <c r="K180" i="21"/>
  <c r="K191" i="21" s="1"/>
  <c r="J180" i="21"/>
  <c r="J191" i="21" s="1"/>
  <c r="I180" i="21"/>
  <c r="I191" i="21" s="1"/>
  <c r="H180" i="21"/>
  <c r="H191" i="21" s="1"/>
  <c r="F180" i="21"/>
  <c r="F191" i="21" s="1"/>
  <c r="E180" i="21"/>
  <c r="D180" i="21"/>
  <c r="D191" i="21" s="1"/>
  <c r="C180" i="21"/>
  <c r="C191" i="21" s="1"/>
  <c r="B180" i="21"/>
  <c r="B191" i="21" s="1"/>
  <c r="K179" i="21"/>
  <c r="J179" i="21"/>
  <c r="I179" i="21"/>
  <c r="E179" i="21"/>
  <c r="D179" i="21"/>
  <c r="C179" i="21"/>
  <c r="Q178" i="21"/>
  <c r="P178" i="21"/>
  <c r="O178" i="21"/>
  <c r="L178" i="21"/>
  <c r="N178" i="21"/>
  <c r="Q177" i="21"/>
  <c r="P177" i="21"/>
  <c r="O177" i="21"/>
  <c r="N177" i="21"/>
  <c r="L177" i="21"/>
  <c r="F177" i="21"/>
  <c r="F177" i="28" s="1"/>
  <c r="Q176" i="21"/>
  <c r="Q179" i="21" s="1"/>
  <c r="P176" i="21"/>
  <c r="P179" i="21" s="1"/>
  <c r="O176" i="21"/>
  <c r="L176" i="21"/>
  <c r="N176" i="21"/>
  <c r="K174" i="21"/>
  <c r="J174" i="21"/>
  <c r="I174" i="21"/>
  <c r="E174" i="21"/>
  <c r="D174" i="21"/>
  <c r="C174" i="21"/>
  <c r="Q173" i="21"/>
  <c r="P173" i="21"/>
  <c r="O173" i="21"/>
  <c r="L173" i="21"/>
  <c r="N173" i="21"/>
  <c r="Q172" i="21"/>
  <c r="P172" i="21"/>
  <c r="O172" i="21"/>
  <c r="L172" i="21"/>
  <c r="Q171" i="21"/>
  <c r="P171" i="21"/>
  <c r="O171" i="21"/>
  <c r="N171" i="21"/>
  <c r="L171" i="21"/>
  <c r="F171" i="21"/>
  <c r="Q170" i="21"/>
  <c r="P170" i="21"/>
  <c r="O170" i="21"/>
  <c r="N170" i="21"/>
  <c r="L170" i="21"/>
  <c r="F170" i="21"/>
  <c r="F170" i="28" s="1"/>
  <c r="Q169" i="21"/>
  <c r="P169" i="21"/>
  <c r="O169" i="21"/>
  <c r="N169" i="21"/>
  <c r="L169" i="21"/>
  <c r="F169" i="21"/>
  <c r="Q168" i="21"/>
  <c r="P168" i="21"/>
  <c r="O168" i="21"/>
  <c r="N168" i="21"/>
  <c r="L168" i="21"/>
  <c r="F168" i="21"/>
  <c r="F168" i="28" s="1"/>
  <c r="Q167" i="21"/>
  <c r="P167" i="21"/>
  <c r="O167" i="21"/>
  <c r="H174" i="21"/>
  <c r="N167" i="21"/>
  <c r="K165" i="21"/>
  <c r="E165" i="21"/>
  <c r="Q164" i="21"/>
  <c r="P164" i="21"/>
  <c r="O164" i="21"/>
  <c r="N164" i="21"/>
  <c r="Q163" i="21"/>
  <c r="P163" i="21"/>
  <c r="O163" i="21"/>
  <c r="Q162" i="21"/>
  <c r="P162" i="21"/>
  <c r="O162" i="21"/>
  <c r="Q161" i="21"/>
  <c r="P161" i="21"/>
  <c r="O161" i="21"/>
  <c r="Q160" i="21"/>
  <c r="P160" i="21"/>
  <c r="O160" i="21"/>
  <c r="N160" i="21"/>
  <c r="L160" i="21"/>
  <c r="F160" i="21"/>
  <c r="Q159" i="21"/>
  <c r="P159" i="21"/>
  <c r="O159" i="21"/>
  <c r="Q158" i="21"/>
  <c r="P158" i="21"/>
  <c r="O158" i="21"/>
  <c r="N158" i="21"/>
  <c r="L158" i="21"/>
  <c r="F158" i="21"/>
  <c r="Q157" i="21"/>
  <c r="P157" i="21"/>
  <c r="O157" i="21"/>
  <c r="N157" i="21"/>
  <c r="L157" i="21"/>
  <c r="F157" i="27" s="1"/>
  <c r="F157" i="21"/>
  <c r="F157" i="28" s="1"/>
  <c r="Q156" i="21"/>
  <c r="P156" i="21"/>
  <c r="O156" i="21"/>
  <c r="Q155" i="21"/>
  <c r="P155" i="21"/>
  <c r="O155" i="21"/>
  <c r="Q154" i="21"/>
  <c r="P154" i="21"/>
  <c r="O154" i="21"/>
  <c r="N154" i="21"/>
  <c r="L154" i="21"/>
  <c r="F154" i="21"/>
  <c r="Q153" i="21"/>
  <c r="O153" i="21"/>
  <c r="N153" i="21"/>
  <c r="Q152" i="21"/>
  <c r="P152" i="21"/>
  <c r="N152" i="21"/>
  <c r="C165" i="21"/>
  <c r="R151" i="21"/>
  <c r="R166" i="21" s="1"/>
  <c r="Q151" i="21"/>
  <c r="Q166" i="21" s="1"/>
  <c r="P151" i="21"/>
  <c r="P166" i="21" s="1"/>
  <c r="O151" i="21"/>
  <c r="O166" i="21" s="1"/>
  <c r="N151" i="21"/>
  <c r="N166" i="21" s="1"/>
  <c r="L151" i="21"/>
  <c r="L166" i="21" s="1"/>
  <c r="K151" i="21"/>
  <c r="K166" i="21" s="1"/>
  <c r="J151" i="21"/>
  <c r="J166" i="21" s="1"/>
  <c r="I151" i="21"/>
  <c r="I166" i="21" s="1"/>
  <c r="H151" i="21"/>
  <c r="H166" i="21" s="1"/>
  <c r="F151" i="21"/>
  <c r="F166" i="21" s="1"/>
  <c r="E151" i="21"/>
  <c r="E166" i="21" s="1"/>
  <c r="D151" i="21"/>
  <c r="D166" i="21" s="1"/>
  <c r="C151" i="21"/>
  <c r="C166" i="21" s="1"/>
  <c r="B151" i="21"/>
  <c r="B166" i="21" s="1"/>
  <c r="K150" i="21"/>
  <c r="E150" i="21"/>
  <c r="Q149" i="21"/>
  <c r="P149" i="21"/>
  <c r="O149" i="21"/>
  <c r="N149" i="21"/>
  <c r="Q148" i="21"/>
  <c r="J150" i="21"/>
  <c r="D150" i="21"/>
  <c r="Q147" i="21"/>
  <c r="P147" i="21"/>
  <c r="Q146" i="21"/>
  <c r="P146" i="21"/>
  <c r="O146" i="21"/>
  <c r="Q145" i="21"/>
  <c r="P145" i="21"/>
  <c r="O145" i="21"/>
  <c r="Q144" i="21"/>
  <c r="P144" i="21"/>
  <c r="O144" i="21"/>
  <c r="Q143" i="21"/>
  <c r="P143" i="21"/>
  <c r="O143" i="21"/>
  <c r="N143" i="21"/>
  <c r="L143" i="21"/>
  <c r="F143" i="21"/>
  <c r="Q142" i="21"/>
  <c r="P142" i="21"/>
  <c r="O142" i="21"/>
  <c r="N142" i="21"/>
  <c r="L142" i="21"/>
  <c r="F142" i="27" s="1"/>
  <c r="F142" i="21"/>
  <c r="F142" i="28" s="1"/>
  <c r="Q141" i="21"/>
  <c r="P141" i="21"/>
  <c r="O141" i="21"/>
  <c r="N141" i="21"/>
  <c r="L141" i="21"/>
  <c r="F141" i="21"/>
  <c r="Q140" i="21"/>
  <c r="Q150" i="21" s="1"/>
  <c r="P140" i="21"/>
  <c r="O140" i="21"/>
  <c r="R139" i="21"/>
  <c r="Q139" i="21"/>
  <c r="P139" i="21"/>
  <c r="O139" i="21"/>
  <c r="N139" i="21"/>
  <c r="L139" i="21"/>
  <c r="K139" i="21"/>
  <c r="J139" i="21"/>
  <c r="I139" i="21"/>
  <c r="H139" i="21"/>
  <c r="F139" i="21"/>
  <c r="E139" i="21"/>
  <c r="D139" i="21"/>
  <c r="C139" i="21"/>
  <c r="B139" i="21"/>
  <c r="Q135" i="21"/>
  <c r="P135" i="21"/>
  <c r="O135" i="21"/>
  <c r="L135" i="21"/>
  <c r="N135" i="21"/>
  <c r="R135" i="21" s="1"/>
  <c r="F135" i="26" s="1"/>
  <c r="B135" i="21"/>
  <c r="F135" i="21" s="1"/>
  <c r="Q134" i="21"/>
  <c r="P134" i="21"/>
  <c r="O134" i="21"/>
  <c r="N134" i="21"/>
  <c r="J129" i="21"/>
  <c r="B129" i="21"/>
  <c r="Q128" i="21"/>
  <c r="P128" i="21"/>
  <c r="O128" i="21"/>
  <c r="N128" i="21"/>
  <c r="F128" i="21"/>
  <c r="P127" i="21"/>
  <c r="N127" i="21"/>
  <c r="K129" i="21"/>
  <c r="K130" i="21" s="1"/>
  <c r="I129" i="21"/>
  <c r="Q127" i="21"/>
  <c r="C127" i="21"/>
  <c r="O127" i="21" s="1"/>
  <c r="Q126" i="21"/>
  <c r="P126" i="21"/>
  <c r="O126" i="21"/>
  <c r="N126" i="21"/>
  <c r="F126" i="21"/>
  <c r="Q125" i="21"/>
  <c r="P125" i="21"/>
  <c r="N125" i="21"/>
  <c r="Q124" i="21"/>
  <c r="P124" i="21"/>
  <c r="O124" i="21"/>
  <c r="N124" i="21"/>
  <c r="F124" i="21"/>
  <c r="Q123" i="21"/>
  <c r="P123" i="21"/>
  <c r="O123" i="21"/>
  <c r="N123" i="21"/>
  <c r="F123" i="21"/>
  <c r="Q122" i="21"/>
  <c r="P122" i="21"/>
  <c r="O122" i="21"/>
  <c r="N122" i="21"/>
  <c r="F122" i="21"/>
  <c r="Q121" i="21"/>
  <c r="P121" i="21"/>
  <c r="O121" i="21"/>
  <c r="N121" i="21"/>
  <c r="F121" i="21"/>
  <c r="F121" i="28" s="1"/>
  <c r="Q120" i="21"/>
  <c r="P120" i="21"/>
  <c r="O120" i="21"/>
  <c r="N120" i="21"/>
  <c r="F120" i="21"/>
  <c r="Q119" i="21"/>
  <c r="P119" i="21"/>
  <c r="O119" i="21"/>
  <c r="N119" i="21"/>
  <c r="F119" i="21"/>
  <c r="R118" i="21"/>
  <c r="Q118" i="21"/>
  <c r="P118" i="21"/>
  <c r="O118" i="21"/>
  <c r="N118" i="21"/>
  <c r="F118" i="21"/>
  <c r="E118" i="21"/>
  <c r="D118" i="21"/>
  <c r="C118" i="21"/>
  <c r="B118" i="21"/>
  <c r="E117" i="21"/>
  <c r="Q116" i="21"/>
  <c r="P116" i="21"/>
  <c r="C116" i="21"/>
  <c r="B116" i="21"/>
  <c r="Q115" i="21"/>
  <c r="P115" i="21"/>
  <c r="O115" i="21"/>
  <c r="Q114" i="21"/>
  <c r="B114" i="21"/>
  <c r="N114" i="21" s="1"/>
  <c r="Q113" i="21"/>
  <c r="P113" i="21"/>
  <c r="O113" i="21"/>
  <c r="Q112" i="21"/>
  <c r="P112" i="21"/>
  <c r="O112" i="21"/>
  <c r="N112" i="21"/>
  <c r="F112" i="21"/>
  <c r="F112" i="28" s="1"/>
  <c r="Q111" i="21"/>
  <c r="O111" i="21"/>
  <c r="B111" i="21"/>
  <c r="Q110" i="21"/>
  <c r="P110" i="21"/>
  <c r="O110" i="21"/>
  <c r="N110" i="21"/>
  <c r="F110" i="21"/>
  <c r="Q109" i="21"/>
  <c r="P109" i="21"/>
  <c r="O109" i="21"/>
  <c r="Q108" i="21"/>
  <c r="P108" i="21"/>
  <c r="O108" i="21"/>
  <c r="N108" i="21"/>
  <c r="Q107" i="21"/>
  <c r="P107" i="21"/>
  <c r="O107" i="21"/>
  <c r="N107" i="21"/>
  <c r="F107" i="21"/>
  <c r="F107" i="28" s="1"/>
  <c r="Q106" i="21"/>
  <c r="P106" i="21"/>
  <c r="O106" i="21"/>
  <c r="Q105" i="21"/>
  <c r="P105" i="21"/>
  <c r="O105" i="21"/>
  <c r="N105" i="21"/>
  <c r="F105" i="21"/>
  <c r="F105" i="28" s="1"/>
  <c r="Q104" i="21"/>
  <c r="P104" i="21"/>
  <c r="O104" i="21"/>
  <c r="N104" i="21"/>
  <c r="F104" i="21"/>
  <c r="F104" i="28" s="1"/>
  <c r="R102" i="21"/>
  <c r="Q102" i="21"/>
  <c r="P102" i="21"/>
  <c r="O102" i="21"/>
  <c r="N102" i="21"/>
  <c r="L102" i="21"/>
  <c r="K102" i="21"/>
  <c r="J102" i="21"/>
  <c r="I102" i="21"/>
  <c r="H102" i="21"/>
  <c r="F102" i="21"/>
  <c r="E102" i="21"/>
  <c r="D102" i="21"/>
  <c r="C102" i="21"/>
  <c r="B102" i="21"/>
  <c r="K99" i="21"/>
  <c r="J99" i="21"/>
  <c r="I99" i="21"/>
  <c r="H99" i="21"/>
  <c r="E99" i="21"/>
  <c r="D99" i="21"/>
  <c r="C99" i="21"/>
  <c r="B99" i="21"/>
  <c r="K98" i="21"/>
  <c r="J98" i="21"/>
  <c r="I98" i="21"/>
  <c r="H98" i="21"/>
  <c r="E98" i="21"/>
  <c r="D98" i="21"/>
  <c r="C98" i="21"/>
  <c r="B98" i="21"/>
  <c r="K97" i="21"/>
  <c r="J97" i="21"/>
  <c r="I97" i="21"/>
  <c r="H97" i="21"/>
  <c r="E97" i="21"/>
  <c r="D97" i="21"/>
  <c r="C97" i="21"/>
  <c r="B97" i="21"/>
  <c r="O96" i="21"/>
  <c r="K96" i="21"/>
  <c r="J96" i="21"/>
  <c r="I96" i="21"/>
  <c r="H96" i="21"/>
  <c r="E96" i="21"/>
  <c r="D96" i="21"/>
  <c r="C96" i="21"/>
  <c r="B96" i="21"/>
  <c r="K95" i="21"/>
  <c r="J95" i="21"/>
  <c r="E95" i="21"/>
  <c r="D95" i="21"/>
  <c r="K94" i="21"/>
  <c r="J94" i="21"/>
  <c r="E94" i="21"/>
  <c r="D94" i="21"/>
  <c r="K93" i="21"/>
  <c r="J93" i="21"/>
  <c r="E93" i="21"/>
  <c r="D93" i="21"/>
  <c r="K92" i="21"/>
  <c r="E92" i="21"/>
  <c r="K91" i="21"/>
  <c r="E91" i="21"/>
  <c r="J90" i="21"/>
  <c r="D90" i="21"/>
  <c r="C90" i="21"/>
  <c r="B90" i="21"/>
  <c r="Q89" i="21"/>
  <c r="O89" i="21"/>
  <c r="K89" i="21"/>
  <c r="J89" i="21"/>
  <c r="L89" i="21" s="1"/>
  <c r="I89" i="21"/>
  <c r="E89" i="21"/>
  <c r="D89" i="21"/>
  <c r="F89" i="21" s="1"/>
  <c r="C89" i="21"/>
  <c r="A89" i="21"/>
  <c r="Q88" i="21"/>
  <c r="P88" i="21"/>
  <c r="O88" i="21"/>
  <c r="K88" i="21"/>
  <c r="J88" i="21"/>
  <c r="I88" i="21"/>
  <c r="E88" i="21"/>
  <c r="D88" i="21"/>
  <c r="C88" i="21"/>
  <c r="Q86" i="21"/>
  <c r="Q99" i="21" s="1"/>
  <c r="P86" i="21"/>
  <c r="P99" i="21" s="1"/>
  <c r="O86" i="21"/>
  <c r="O99" i="21" s="1"/>
  <c r="N86" i="21"/>
  <c r="N99" i="21" s="1"/>
  <c r="L86" i="21"/>
  <c r="L99" i="21" s="1"/>
  <c r="F86" i="21"/>
  <c r="F99" i="21" s="1"/>
  <c r="Q85" i="21"/>
  <c r="P85" i="21"/>
  <c r="P98" i="21" s="1"/>
  <c r="O85" i="21"/>
  <c r="O98" i="21" s="1"/>
  <c r="N85" i="21"/>
  <c r="N98" i="21" s="1"/>
  <c r="L85" i="21"/>
  <c r="L98" i="21" s="1"/>
  <c r="F85" i="21"/>
  <c r="F98" i="21" s="1"/>
  <c r="Q84" i="21"/>
  <c r="Q97" i="21" s="1"/>
  <c r="P84" i="21"/>
  <c r="O84" i="21"/>
  <c r="O97" i="21" s="1"/>
  <c r="N84" i="21"/>
  <c r="N97" i="21" s="1"/>
  <c r="L84" i="21"/>
  <c r="L97" i="21" s="1"/>
  <c r="F84" i="21"/>
  <c r="F97" i="21" s="1"/>
  <c r="Q83" i="21"/>
  <c r="Q96" i="21" s="1"/>
  <c r="P83" i="21"/>
  <c r="P96" i="21" s="1"/>
  <c r="O83" i="21"/>
  <c r="N83" i="21"/>
  <c r="N96" i="21" s="1"/>
  <c r="L83" i="21"/>
  <c r="L96" i="21" s="1"/>
  <c r="F83" i="21"/>
  <c r="F96" i="21" s="1"/>
  <c r="Q82" i="21"/>
  <c r="Q95" i="21" s="1"/>
  <c r="P82" i="21"/>
  <c r="P95" i="21" s="1"/>
  <c r="H82" i="21"/>
  <c r="H95" i="21" s="1"/>
  <c r="B82" i="21"/>
  <c r="B95" i="21" s="1"/>
  <c r="Q81" i="21"/>
  <c r="Q94" i="21" s="1"/>
  <c r="P81" i="21"/>
  <c r="P94" i="21" s="1"/>
  <c r="H81" i="21"/>
  <c r="B81" i="21"/>
  <c r="B94" i="21" s="1"/>
  <c r="Q80" i="21"/>
  <c r="Q93" i="21" s="1"/>
  <c r="P80" i="21"/>
  <c r="P93" i="21" s="1"/>
  <c r="H80" i="21"/>
  <c r="H93" i="21" s="1"/>
  <c r="C93" i="21"/>
  <c r="B80" i="21"/>
  <c r="B93" i="21" s="1"/>
  <c r="Q79" i="21"/>
  <c r="Q92" i="21" s="1"/>
  <c r="I79" i="21"/>
  <c r="I92" i="21" s="1"/>
  <c r="H79" i="21"/>
  <c r="H92" i="21" s="1"/>
  <c r="D92" i="21"/>
  <c r="C79" i="21"/>
  <c r="C92" i="21" s="1"/>
  <c r="B79" i="21"/>
  <c r="B92" i="21" s="1"/>
  <c r="Q78" i="21"/>
  <c r="Q91" i="21" s="1"/>
  <c r="J78" i="21"/>
  <c r="I78" i="21"/>
  <c r="I91" i="21" s="1"/>
  <c r="H78" i="21"/>
  <c r="H91" i="21" s="1"/>
  <c r="D78" i="21"/>
  <c r="D91" i="21" s="1"/>
  <c r="C78" i="21"/>
  <c r="C91" i="21" s="1"/>
  <c r="B78" i="21"/>
  <c r="N78" i="21" s="1"/>
  <c r="P77" i="21"/>
  <c r="P90" i="21" s="1"/>
  <c r="I77" i="21"/>
  <c r="H77" i="21"/>
  <c r="H90" i="21" s="1"/>
  <c r="C77" i="21"/>
  <c r="B77" i="21"/>
  <c r="Q76" i="21"/>
  <c r="P76" i="21"/>
  <c r="I76" i="21"/>
  <c r="C76" i="21"/>
  <c r="Q75" i="21"/>
  <c r="P75" i="21"/>
  <c r="I75" i="21"/>
  <c r="C75" i="21"/>
  <c r="Q74" i="21"/>
  <c r="O74" i="21"/>
  <c r="N74" i="21"/>
  <c r="K74" i="21"/>
  <c r="I74" i="21"/>
  <c r="H74" i="21"/>
  <c r="E74" i="21"/>
  <c r="C74" i="21"/>
  <c r="B74" i="21"/>
  <c r="K65" i="21"/>
  <c r="I65" i="21"/>
  <c r="C65" i="21"/>
  <c r="B65" i="21"/>
  <c r="K66" i="21"/>
  <c r="J66" i="21"/>
  <c r="I66" i="21"/>
  <c r="I67" i="21" s="1"/>
  <c r="H66" i="21"/>
  <c r="E66" i="21"/>
  <c r="D66" i="21"/>
  <c r="C66" i="21"/>
  <c r="C67" i="21" s="1"/>
  <c r="B66" i="21"/>
  <c r="Q62" i="21"/>
  <c r="P62" i="21"/>
  <c r="O62" i="21"/>
  <c r="N62" i="21"/>
  <c r="L62" i="21"/>
  <c r="F62" i="21"/>
  <c r="Q61" i="21"/>
  <c r="P61" i="21"/>
  <c r="O61" i="21"/>
  <c r="O65" i="21" s="1"/>
  <c r="N61" i="21"/>
  <c r="L61" i="21"/>
  <c r="F61" i="21"/>
  <c r="Q60" i="21"/>
  <c r="P60" i="21"/>
  <c r="O60" i="21"/>
  <c r="N60" i="21"/>
  <c r="L60" i="21"/>
  <c r="F60" i="21"/>
  <c r="Q59" i="21"/>
  <c r="P59" i="21"/>
  <c r="O59" i="21"/>
  <c r="N59" i="21"/>
  <c r="R59" i="21" s="1"/>
  <c r="L59" i="21"/>
  <c r="F59" i="21"/>
  <c r="Q58" i="21"/>
  <c r="P58" i="21"/>
  <c r="O58" i="21"/>
  <c r="N58" i="21"/>
  <c r="L58" i="21"/>
  <c r="F58" i="21"/>
  <c r="Q57" i="21"/>
  <c r="R57" i="21" s="1"/>
  <c r="P57" i="21"/>
  <c r="O57" i="21"/>
  <c r="N57" i="21"/>
  <c r="L57" i="21"/>
  <c r="F57" i="21"/>
  <c r="Q56" i="21"/>
  <c r="P56" i="21"/>
  <c r="O56" i="21"/>
  <c r="N56" i="21"/>
  <c r="L56" i="21"/>
  <c r="F56" i="21"/>
  <c r="Q55" i="21"/>
  <c r="P55" i="21"/>
  <c r="O55" i="21"/>
  <c r="N55" i="21"/>
  <c r="L55" i="21"/>
  <c r="F55" i="21"/>
  <c r="Q54" i="21"/>
  <c r="P54" i="21"/>
  <c r="O54" i="21"/>
  <c r="N54" i="21"/>
  <c r="L54" i="21"/>
  <c r="F54" i="21"/>
  <c r="Q53" i="21"/>
  <c r="P53" i="21"/>
  <c r="O53" i="21"/>
  <c r="N53" i="21"/>
  <c r="L53" i="21"/>
  <c r="F53" i="21"/>
  <c r="Q52" i="21"/>
  <c r="P52" i="21"/>
  <c r="O52" i="21"/>
  <c r="N52" i="21"/>
  <c r="L52" i="21"/>
  <c r="F52" i="27" s="1"/>
  <c r="F52" i="21"/>
  <c r="Q51" i="21"/>
  <c r="P51" i="21"/>
  <c r="O51" i="21"/>
  <c r="N51" i="21"/>
  <c r="L51" i="21"/>
  <c r="F51" i="21"/>
  <c r="Q50" i="21"/>
  <c r="P50" i="21"/>
  <c r="O50" i="21"/>
  <c r="N50" i="21"/>
  <c r="L50" i="21"/>
  <c r="F50" i="21"/>
  <c r="Q49" i="21"/>
  <c r="P49" i="21"/>
  <c r="O49" i="21"/>
  <c r="N49" i="21"/>
  <c r="L49" i="21"/>
  <c r="F49" i="21"/>
  <c r="Q48" i="21"/>
  <c r="P48" i="21"/>
  <c r="O48" i="21"/>
  <c r="N48" i="21"/>
  <c r="L48" i="21"/>
  <c r="F48" i="21"/>
  <c r="Q47" i="21"/>
  <c r="P47" i="21"/>
  <c r="O47" i="21"/>
  <c r="N47" i="21"/>
  <c r="L47" i="21"/>
  <c r="F47" i="27" s="1"/>
  <c r="F47" i="21"/>
  <c r="Q46" i="21"/>
  <c r="P46" i="21"/>
  <c r="O46" i="21"/>
  <c r="N46" i="21"/>
  <c r="F46" i="21"/>
  <c r="Q45" i="21"/>
  <c r="P45" i="21"/>
  <c r="O45" i="21"/>
  <c r="N45" i="21"/>
  <c r="Q44" i="21"/>
  <c r="P44" i="21"/>
  <c r="O44" i="21"/>
  <c r="N44" i="21"/>
  <c r="F44" i="21"/>
  <c r="Q43" i="21"/>
  <c r="P43" i="21"/>
  <c r="O43" i="21"/>
  <c r="N43" i="21"/>
  <c r="L43" i="21"/>
  <c r="F43" i="21"/>
  <c r="Q42" i="21"/>
  <c r="P42" i="21"/>
  <c r="O42" i="21"/>
  <c r="N42" i="21"/>
  <c r="L42" i="21"/>
  <c r="F42" i="21"/>
  <c r="K39" i="21"/>
  <c r="J39" i="21"/>
  <c r="J136" i="21" s="1"/>
  <c r="I39" i="21"/>
  <c r="I136" i="21" s="1"/>
  <c r="H39" i="21"/>
  <c r="H109" i="21" s="1"/>
  <c r="E39" i="21"/>
  <c r="D39" i="21"/>
  <c r="D136" i="21" s="1"/>
  <c r="C39" i="21"/>
  <c r="B39" i="21"/>
  <c r="Q38" i="21"/>
  <c r="P38" i="21"/>
  <c r="O38" i="21"/>
  <c r="N38" i="21"/>
  <c r="L38" i="21"/>
  <c r="F38" i="21"/>
  <c r="Q37" i="21"/>
  <c r="P37" i="21"/>
  <c r="O37" i="21"/>
  <c r="N37" i="21"/>
  <c r="L37" i="21"/>
  <c r="F37" i="21"/>
  <c r="Q36" i="21"/>
  <c r="P36" i="21"/>
  <c r="O36" i="21"/>
  <c r="N36" i="21"/>
  <c r="R36" i="21" s="1"/>
  <c r="L36" i="21"/>
  <c r="F36" i="21"/>
  <c r="Q35" i="21"/>
  <c r="P35" i="21"/>
  <c r="O35" i="21"/>
  <c r="N35" i="21"/>
  <c r="L35" i="21"/>
  <c r="F35" i="21"/>
  <c r="Q34" i="21"/>
  <c r="P34" i="21"/>
  <c r="O34" i="21"/>
  <c r="N34" i="21"/>
  <c r="R34" i="21" s="1"/>
  <c r="L34" i="21"/>
  <c r="F34" i="21"/>
  <c r="Q33" i="21"/>
  <c r="P33" i="21"/>
  <c r="O33" i="21"/>
  <c r="N33" i="21"/>
  <c r="L33" i="21"/>
  <c r="F33" i="21"/>
  <c r="Q32" i="21"/>
  <c r="P32" i="21"/>
  <c r="O32" i="21"/>
  <c r="N32" i="21"/>
  <c r="L32" i="21"/>
  <c r="F32" i="21"/>
  <c r="Q31" i="21"/>
  <c r="P31" i="21"/>
  <c r="O31" i="21"/>
  <c r="N31" i="21"/>
  <c r="L31" i="21"/>
  <c r="F31" i="21"/>
  <c r="Q30" i="21"/>
  <c r="P30" i="21"/>
  <c r="O30" i="21"/>
  <c r="N30" i="21"/>
  <c r="L30" i="21"/>
  <c r="F30" i="27" s="1"/>
  <c r="F30" i="21"/>
  <c r="Q29" i="21"/>
  <c r="P29" i="21"/>
  <c r="O29" i="21"/>
  <c r="N29" i="21"/>
  <c r="L29" i="21"/>
  <c r="M29" i="21" s="1"/>
  <c r="G29" i="21"/>
  <c r="F29" i="21"/>
  <c r="R27" i="21"/>
  <c r="L27" i="21"/>
  <c r="F27" i="21"/>
  <c r="Q26" i="21"/>
  <c r="P26" i="21"/>
  <c r="N26" i="21"/>
  <c r="O26" i="21"/>
  <c r="F26" i="21"/>
  <c r="L25" i="21"/>
  <c r="F25" i="27" s="1"/>
  <c r="F25" i="21"/>
  <c r="Q24" i="21"/>
  <c r="P24" i="21"/>
  <c r="O24" i="21"/>
  <c r="N24" i="21"/>
  <c r="L24" i="21"/>
  <c r="F24" i="27" s="1"/>
  <c r="F24" i="21"/>
  <c r="Q23" i="21"/>
  <c r="P23" i="21"/>
  <c r="O23" i="21"/>
  <c r="N23" i="21"/>
  <c r="L23" i="21"/>
  <c r="F23" i="27" s="1"/>
  <c r="F23" i="21"/>
  <c r="Q22" i="21"/>
  <c r="P22" i="21"/>
  <c r="O22" i="21"/>
  <c r="N22" i="21"/>
  <c r="L22" i="21"/>
  <c r="F22" i="27" s="1"/>
  <c r="F22" i="21"/>
  <c r="N18" i="21"/>
  <c r="R18" i="21" s="1"/>
  <c r="F18" i="26" s="1"/>
  <c r="L18" i="21"/>
  <c r="F18" i="21"/>
  <c r="F18" i="28" s="1"/>
  <c r="N17" i="21"/>
  <c r="R17" i="21" s="1"/>
  <c r="F17" i="26" s="1"/>
  <c r="L17" i="21"/>
  <c r="F17" i="21"/>
  <c r="F17" i="28" s="1"/>
  <c r="N16" i="21"/>
  <c r="R16" i="21" s="1"/>
  <c r="F16" i="26" s="1"/>
  <c r="L16" i="21"/>
  <c r="F16" i="21"/>
  <c r="F16" i="28" s="1"/>
  <c r="N15" i="21"/>
  <c r="R15" i="21" s="1"/>
  <c r="F15" i="26" s="1"/>
  <c r="L15" i="21"/>
  <c r="F15" i="21"/>
  <c r="F15" i="28" s="1"/>
  <c r="L14" i="21"/>
  <c r="L13" i="21"/>
  <c r="L12" i="21"/>
  <c r="F12" i="21"/>
  <c r="F12" i="28" s="1"/>
  <c r="L11" i="21"/>
  <c r="F11" i="27" s="1"/>
  <c r="G43" i="31" s="1"/>
  <c r="F11" i="21"/>
  <c r="F11" i="28" s="1"/>
  <c r="L10" i="21"/>
  <c r="F10" i="21"/>
  <c r="F10" i="28" s="1"/>
  <c r="L9" i="21"/>
  <c r="L8" i="21"/>
  <c r="F8" i="21"/>
  <c r="F8" i="28" s="1"/>
  <c r="L7" i="21"/>
  <c r="F7" i="21"/>
  <c r="F7" i="28" s="1"/>
  <c r="N6" i="21"/>
  <c r="R3" i="21"/>
  <c r="L3" i="21"/>
  <c r="F3" i="21"/>
  <c r="N2" i="21"/>
  <c r="R2" i="21" s="1"/>
  <c r="F2" i="26" s="1"/>
  <c r="N2" i="26" s="1"/>
  <c r="L2" i="21"/>
  <c r="F2" i="21"/>
  <c r="H7" i="35" l="1"/>
  <c r="H19" i="35" s="1"/>
  <c r="H99" i="30"/>
  <c r="H106" i="30" s="1"/>
  <c r="H78" i="30"/>
  <c r="H85" i="30" s="1"/>
  <c r="G63" i="26"/>
  <c r="G66" i="26" s="1"/>
  <c r="R44" i="21"/>
  <c r="N63" i="21"/>
  <c r="F63" i="21"/>
  <c r="F44" i="28"/>
  <c r="F63" i="28" s="1"/>
  <c r="F66" i="28" s="1"/>
  <c r="F67" i="28" s="1"/>
  <c r="F203" i="25"/>
  <c r="G198" i="28"/>
  <c r="G203" i="28" s="1"/>
  <c r="G71" i="28"/>
  <c r="F2" i="28"/>
  <c r="N2" i="28" s="1"/>
  <c r="F2" i="27"/>
  <c r="M2" i="27" s="1"/>
  <c r="G47" i="29"/>
  <c r="G47" i="31"/>
  <c r="G49" i="31"/>
  <c r="G49" i="29"/>
  <c r="G48" i="31"/>
  <c r="G48" i="29"/>
  <c r="G50" i="31"/>
  <c r="G50" i="29"/>
  <c r="G67" i="26"/>
  <c r="K87" i="25"/>
  <c r="K190" i="25"/>
  <c r="F39" i="27"/>
  <c r="F65" i="27" s="1"/>
  <c r="G33" i="35"/>
  <c r="G37" i="30"/>
  <c r="G22" i="31"/>
  <c r="G66" i="31"/>
  <c r="G38" i="35"/>
  <c r="G43" i="30"/>
  <c r="I19" i="33"/>
  <c r="G30" i="35"/>
  <c r="G41" i="35" s="1"/>
  <c r="G31" i="30"/>
  <c r="F63" i="27"/>
  <c r="G150" i="27"/>
  <c r="G71" i="27"/>
  <c r="H42" i="35"/>
  <c r="M110" i="27"/>
  <c r="R213" i="21"/>
  <c r="F213" i="26" s="1"/>
  <c r="F3" i="28"/>
  <c r="F3" i="26"/>
  <c r="F3" i="27"/>
  <c r="O76" i="21"/>
  <c r="R117" i="25"/>
  <c r="G114" i="26"/>
  <c r="N109" i="26" s="1"/>
  <c r="R93" i="25"/>
  <c r="G93" i="26" s="1"/>
  <c r="G80" i="26"/>
  <c r="L91" i="25"/>
  <c r="G91" i="27" s="1"/>
  <c r="G78" i="27"/>
  <c r="L95" i="25"/>
  <c r="G95" i="27" s="1"/>
  <c r="G82" i="27"/>
  <c r="K90" i="25"/>
  <c r="K100" i="25" s="1"/>
  <c r="R92" i="25"/>
  <c r="G92" i="26" s="1"/>
  <c r="G79" i="26"/>
  <c r="R94" i="25"/>
  <c r="G94" i="26" s="1"/>
  <c r="G81" i="26"/>
  <c r="L92" i="25"/>
  <c r="G92" i="27" s="1"/>
  <c r="G79" i="27"/>
  <c r="Q25" i="25"/>
  <c r="R25" i="25" s="1"/>
  <c r="G25" i="26" s="1"/>
  <c r="L88" i="25"/>
  <c r="G5" i="27"/>
  <c r="L190" i="25"/>
  <c r="G181" i="27"/>
  <c r="G190" i="27" s="1"/>
  <c r="L90" i="25"/>
  <c r="G90" i="27" s="1"/>
  <c r="G77" i="27"/>
  <c r="F66" i="27"/>
  <c r="F70" i="25"/>
  <c r="F131" i="25"/>
  <c r="G131" i="28" s="1"/>
  <c r="R47" i="21"/>
  <c r="F47" i="26" s="1"/>
  <c r="G8" i="35" s="1"/>
  <c r="B100" i="25"/>
  <c r="R24" i="21"/>
  <c r="F24" i="26" s="1"/>
  <c r="R32" i="21"/>
  <c r="R55" i="21"/>
  <c r="R60" i="21"/>
  <c r="N82" i="21"/>
  <c r="R160" i="21"/>
  <c r="R171" i="21"/>
  <c r="N184" i="21"/>
  <c r="O203" i="21"/>
  <c r="R195" i="21"/>
  <c r="F195" i="26" s="1"/>
  <c r="R208" i="21"/>
  <c r="F208" i="26" s="1"/>
  <c r="R210" i="21"/>
  <c r="F210" i="26" s="1"/>
  <c r="R215" i="21"/>
  <c r="F215" i="26" s="1"/>
  <c r="F230" i="26" s="1"/>
  <c r="F111" i="21"/>
  <c r="F111" i="28" s="1"/>
  <c r="N7" i="21"/>
  <c r="R7" i="21" s="1"/>
  <c r="F7" i="26" s="1"/>
  <c r="R22" i="21"/>
  <c r="F22" i="26" s="1"/>
  <c r="Q39" i="21"/>
  <c r="Q65" i="21" s="1"/>
  <c r="R37" i="21"/>
  <c r="R50" i="21"/>
  <c r="I133" i="21"/>
  <c r="N77" i="21"/>
  <c r="N90" i="21" s="1"/>
  <c r="R120" i="21"/>
  <c r="R143" i="21"/>
  <c r="O147" i="21"/>
  <c r="O150" i="21" s="1"/>
  <c r="N148" i="21"/>
  <c r="O148" i="21"/>
  <c r="R154" i="21"/>
  <c r="O174" i="21"/>
  <c r="P203" i="21"/>
  <c r="R193" i="21"/>
  <c r="F193" i="26" s="1"/>
  <c r="R196" i="21"/>
  <c r="F196" i="26" s="1"/>
  <c r="R214" i="21"/>
  <c r="F214" i="26" s="1"/>
  <c r="R216" i="21"/>
  <c r="B136" i="21"/>
  <c r="B161" i="25"/>
  <c r="J165" i="25"/>
  <c r="K67" i="21"/>
  <c r="K133" i="21" s="1"/>
  <c r="R86" i="21"/>
  <c r="R99" i="21" s="1"/>
  <c r="R42" i="21"/>
  <c r="R51" i="21"/>
  <c r="R53" i="21"/>
  <c r="R62" i="21"/>
  <c r="R105" i="21"/>
  <c r="F105" i="26" s="1"/>
  <c r="R201" i="21"/>
  <c r="C136" i="21"/>
  <c r="O136" i="21" s="1"/>
  <c r="B5" i="21"/>
  <c r="R35" i="21"/>
  <c r="L109" i="21"/>
  <c r="L117" i="21" s="1"/>
  <c r="H117" i="21"/>
  <c r="R49" i="21"/>
  <c r="R54" i="21"/>
  <c r="R58" i="21"/>
  <c r="R61" i="21"/>
  <c r="N80" i="21"/>
  <c r="R141" i="21"/>
  <c r="F148" i="21"/>
  <c r="F148" i="28" s="1"/>
  <c r="Q165" i="21"/>
  <c r="R158" i="21"/>
  <c r="P174" i="21"/>
  <c r="R168" i="21"/>
  <c r="F168" i="26" s="1"/>
  <c r="R170" i="21"/>
  <c r="F170" i="26" s="1"/>
  <c r="R183" i="21"/>
  <c r="N190" i="21"/>
  <c r="R188" i="21"/>
  <c r="H190" i="21"/>
  <c r="Q203" i="21"/>
  <c r="R199" i="21"/>
  <c r="R209" i="21"/>
  <c r="F209" i="26" s="1"/>
  <c r="R211" i="21"/>
  <c r="F211" i="26" s="1"/>
  <c r="R212" i="21"/>
  <c r="F212" i="26" s="1"/>
  <c r="E136" i="21"/>
  <c r="Q136" i="21" s="1"/>
  <c r="H161" i="25"/>
  <c r="H163" i="25"/>
  <c r="L163" i="25" s="1"/>
  <c r="G163" i="27" s="1"/>
  <c r="H162" i="25"/>
  <c r="L162" i="25" s="1"/>
  <c r="G162" i="27" s="1"/>
  <c r="J205" i="25"/>
  <c r="J218" i="25" s="1"/>
  <c r="J219" i="25" s="1"/>
  <c r="K205" i="25"/>
  <c r="K218" i="25" s="1"/>
  <c r="K219" i="25" s="1"/>
  <c r="H137" i="25"/>
  <c r="H138" i="25" s="1"/>
  <c r="P130" i="25"/>
  <c r="L132" i="25"/>
  <c r="G132" i="27" s="1"/>
  <c r="I137" i="25"/>
  <c r="I138" i="25" s="1"/>
  <c r="I205" i="25" s="1"/>
  <c r="I218" i="25" s="1"/>
  <c r="I219" i="25" s="1"/>
  <c r="R67" i="25"/>
  <c r="R78" i="25"/>
  <c r="P150" i="25"/>
  <c r="R148" i="25"/>
  <c r="G148" i="26" s="1"/>
  <c r="L150" i="25"/>
  <c r="P87" i="25"/>
  <c r="N76" i="25"/>
  <c r="R76" i="25" s="1"/>
  <c r="G76" i="26" s="1"/>
  <c r="H100" i="25"/>
  <c r="L198" i="25"/>
  <c r="H203" i="25"/>
  <c r="N130" i="25"/>
  <c r="H87" i="25"/>
  <c r="L75" i="25"/>
  <c r="L131" i="25"/>
  <c r="G131" i="27" s="1"/>
  <c r="L70" i="25"/>
  <c r="R106" i="21"/>
  <c r="F106" i="26" s="1"/>
  <c r="Q117" i="21"/>
  <c r="R124" i="21"/>
  <c r="R126" i="21"/>
  <c r="Q129" i="21"/>
  <c r="R108" i="21"/>
  <c r="F108" i="26" s="1"/>
  <c r="R110" i="21"/>
  <c r="R112" i="21"/>
  <c r="F112" i="26" s="1"/>
  <c r="O114" i="21"/>
  <c r="J65" i="21"/>
  <c r="J67" i="21"/>
  <c r="J133" i="21" s="1"/>
  <c r="P39" i="21"/>
  <c r="P65" i="21" s="1"/>
  <c r="H136" i="21"/>
  <c r="N136" i="21" s="1"/>
  <c r="R29" i="21"/>
  <c r="L39" i="21"/>
  <c r="L65" i="21" s="1"/>
  <c r="R23" i="21"/>
  <c r="F23" i="26" s="1"/>
  <c r="R142" i="21"/>
  <c r="F142" i="26" s="1"/>
  <c r="R169" i="21"/>
  <c r="I82" i="21"/>
  <c r="O82" i="21" s="1"/>
  <c r="O95" i="21" s="1"/>
  <c r="B67" i="21"/>
  <c r="F71" i="25"/>
  <c r="R130" i="25"/>
  <c r="R75" i="25"/>
  <c r="G75" i="26" s="1"/>
  <c r="Q181" i="25"/>
  <c r="E190" i="25"/>
  <c r="F181" i="25"/>
  <c r="F190" i="25" s="1"/>
  <c r="O95" i="25"/>
  <c r="O100" i="25" s="1"/>
  <c r="R82" i="25"/>
  <c r="Q77" i="25"/>
  <c r="E90" i="25"/>
  <c r="E100" i="25" s="1"/>
  <c r="E87" i="25"/>
  <c r="F77" i="25"/>
  <c r="N132" i="25"/>
  <c r="R132" i="25" s="1"/>
  <c r="F132" i="25"/>
  <c r="F162" i="25"/>
  <c r="G162" i="28" s="1"/>
  <c r="F144" i="25"/>
  <c r="G144" i="28" s="1"/>
  <c r="N144" i="25"/>
  <c r="R144" i="25" s="1"/>
  <c r="G144" i="26" s="1"/>
  <c r="P131" i="25"/>
  <c r="B137" i="25"/>
  <c r="B138" i="25" s="1"/>
  <c r="N131" i="25"/>
  <c r="G133" i="26"/>
  <c r="F87" i="25"/>
  <c r="F159" i="25"/>
  <c r="G159" i="28" s="1"/>
  <c r="N159" i="25"/>
  <c r="R159" i="25" s="1"/>
  <c r="G159" i="26" s="1"/>
  <c r="B150" i="25"/>
  <c r="F140" i="25"/>
  <c r="G140" i="28" s="1"/>
  <c r="N140" i="25"/>
  <c r="E205" i="25"/>
  <c r="F153" i="25"/>
  <c r="G153" i="28" s="1"/>
  <c r="D165" i="25"/>
  <c r="D205" i="25" s="1"/>
  <c r="D218" i="25" s="1"/>
  <c r="D219" i="25" s="1"/>
  <c r="P153" i="25"/>
  <c r="O87" i="25"/>
  <c r="Q131" i="25"/>
  <c r="Q137" i="25" s="1"/>
  <c r="Q138" i="25" s="1"/>
  <c r="F163" i="25"/>
  <c r="G163" i="28" s="1"/>
  <c r="F147" i="25"/>
  <c r="G147" i="28" s="1"/>
  <c r="N147" i="25"/>
  <c r="R147" i="25" s="1"/>
  <c r="G147" i="26" s="1"/>
  <c r="N146" i="25"/>
  <c r="R146" i="25" s="1"/>
  <c r="G146" i="26" s="1"/>
  <c r="F146" i="25"/>
  <c r="G146" i="28" s="1"/>
  <c r="O137" i="25"/>
  <c r="O138" i="25" s="1"/>
  <c r="O205" i="25" s="1"/>
  <c r="N155" i="25"/>
  <c r="F155" i="25"/>
  <c r="R198" i="25"/>
  <c r="N203" i="25"/>
  <c r="R5" i="25"/>
  <c r="N89" i="25"/>
  <c r="N88" i="25"/>
  <c r="F145" i="25"/>
  <c r="G145" i="28" s="1"/>
  <c r="N145" i="25"/>
  <c r="R145" i="25" s="1"/>
  <c r="G145" i="26" s="1"/>
  <c r="P66" i="21"/>
  <c r="F66" i="21"/>
  <c r="N129" i="21"/>
  <c r="P136" i="21"/>
  <c r="R136" i="21" s="1"/>
  <c r="R121" i="21"/>
  <c r="F121" i="26" s="1"/>
  <c r="C117" i="21"/>
  <c r="D117" i="21"/>
  <c r="D130" i="21" s="1"/>
  <c r="F106" i="21"/>
  <c r="F106" i="28" s="1"/>
  <c r="D100" i="21"/>
  <c r="N91" i="21"/>
  <c r="B89" i="21"/>
  <c r="B88" i="21"/>
  <c r="F5" i="21"/>
  <c r="B76" i="21"/>
  <c r="L136" i="21"/>
  <c r="F136" i="27" s="1"/>
  <c r="R48" i="21"/>
  <c r="I90" i="21"/>
  <c r="F6" i="21"/>
  <c r="F6" i="28" s="1"/>
  <c r="E65" i="21"/>
  <c r="E67" i="21" s="1"/>
  <c r="H19" i="21"/>
  <c r="L6" i="21"/>
  <c r="N8" i="21"/>
  <c r="R8" i="21" s="1"/>
  <c r="F8" i="26" s="1"/>
  <c r="N11" i="21"/>
  <c r="R11" i="21" s="1"/>
  <c r="F11" i="26" s="1"/>
  <c r="R33" i="21"/>
  <c r="R38" i="21"/>
  <c r="L66" i="21"/>
  <c r="R43" i="21"/>
  <c r="R52" i="21"/>
  <c r="F52" i="26" s="1"/>
  <c r="G16" i="35" s="1"/>
  <c r="R56" i="21"/>
  <c r="H65" i="21"/>
  <c r="H67" i="21" s="1"/>
  <c r="P89" i="21"/>
  <c r="R89" i="21" s="1"/>
  <c r="O79" i="21"/>
  <c r="O92" i="21" s="1"/>
  <c r="N9" i="21"/>
  <c r="R9" i="21" s="1"/>
  <c r="F9" i="26" s="1"/>
  <c r="F9" i="21"/>
  <c r="F9" i="28" s="1"/>
  <c r="B91" i="21"/>
  <c r="F78" i="21"/>
  <c r="F91" i="21" s="1"/>
  <c r="N95" i="21"/>
  <c r="N172" i="21"/>
  <c r="R172" i="21" s="1"/>
  <c r="F172" i="21"/>
  <c r="N12" i="21"/>
  <c r="R12" i="21" s="1"/>
  <c r="F12" i="26" s="1"/>
  <c r="F39" i="21"/>
  <c r="R31" i="21"/>
  <c r="N66" i="21"/>
  <c r="O77" i="21"/>
  <c r="O90" i="21" s="1"/>
  <c r="N81" i="21"/>
  <c r="L81" i="21"/>
  <c r="H94" i="21"/>
  <c r="R107" i="21"/>
  <c r="F107" i="26" s="1"/>
  <c r="O66" i="21"/>
  <c r="O67" i="21" s="1"/>
  <c r="F81" i="21"/>
  <c r="F94" i="21" s="1"/>
  <c r="C94" i="21"/>
  <c r="C100" i="21" s="1"/>
  <c r="O81" i="21"/>
  <c r="O94" i="21" s="1"/>
  <c r="R26" i="21"/>
  <c r="F26" i="26" s="1"/>
  <c r="Q66" i="21"/>
  <c r="Q67" i="21" s="1"/>
  <c r="F79" i="21"/>
  <c r="F92" i="21" s="1"/>
  <c r="I130" i="21"/>
  <c r="N13" i="21"/>
  <c r="R13" i="21" s="1"/>
  <c r="F13" i="26" s="1"/>
  <c r="F13" i="21"/>
  <c r="F13" i="28" s="1"/>
  <c r="H5" i="21"/>
  <c r="N10" i="21"/>
  <c r="R10" i="21" s="1"/>
  <c r="F10" i="26" s="1"/>
  <c r="N39" i="21"/>
  <c r="N65" i="21" s="1"/>
  <c r="R30" i="21"/>
  <c r="O39" i="21"/>
  <c r="I93" i="21"/>
  <c r="L80" i="21"/>
  <c r="F114" i="21"/>
  <c r="F114" i="28" s="1"/>
  <c r="P114" i="21"/>
  <c r="F14" i="21"/>
  <c r="F14" i="28" s="1"/>
  <c r="N14" i="21"/>
  <c r="R14" i="21" s="1"/>
  <c r="F14" i="26" s="1"/>
  <c r="J91" i="21"/>
  <c r="J100" i="21" s="1"/>
  <c r="L78" i="21"/>
  <c r="N93" i="21"/>
  <c r="R85" i="21"/>
  <c r="R98" i="21" s="1"/>
  <c r="Q98" i="21"/>
  <c r="J87" i="21"/>
  <c r="F125" i="21"/>
  <c r="F125" i="28" s="1"/>
  <c r="C129" i="21"/>
  <c r="O125" i="21"/>
  <c r="R125" i="21" s="1"/>
  <c r="F125" i="26" s="1"/>
  <c r="R6" i="21"/>
  <c r="F6" i="26" s="1"/>
  <c r="B19" i="21"/>
  <c r="O75" i="21"/>
  <c r="C87" i="21"/>
  <c r="P97" i="21"/>
  <c r="R84" i="21"/>
  <c r="R97" i="21" s="1"/>
  <c r="O78" i="21"/>
  <c r="O91" i="21" s="1"/>
  <c r="O80" i="21"/>
  <c r="O93" i="21" s="1"/>
  <c r="R83" i="21"/>
  <c r="R96" i="21" s="1"/>
  <c r="D87" i="21"/>
  <c r="P111" i="21"/>
  <c r="J130" i="21"/>
  <c r="N179" i="21"/>
  <c r="R176" i="21"/>
  <c r="F176" i="26" s="1"/>
  <c r="R177" i="21"/>
  <c r="F177" i="26" s="1"/>
  <c r="N200" i="21"/>
  <c r="R200" i="21" s="1"/>
  <c r="F200" i="21"/>
  <c r="F82" i="21"/>
  <c r="F95" i="21" s="1"/>
  <c r="L179" i="21"/>
  <c r="O179" i="21"/>
  <c r="R192" i="21"/>
  <c r="F192" i="26" s="1"/>
  <c r="R119" i="21"/>
  <c r="F127" i="21"/>
  <c r="F127" i="28" s="1"/>
  <c r="E129" i="21"/>
  <c r="E130" i="21" s="1"/>
  <c r="R157" i="21"/>
  <c r="F157" i="26" s="1"/>
  <c r="Q174" i="21"/>
  <c r="L26" i="21"/>
  <c r="F26" i="27" s="1"/>
  <c r="L79" i="21"/>
  <c r="F80" i="21"/>
  <c r="F93" i="21" s="1"/>
  <c r="O116" i="21"/>
  <c r="P129" i="21"/>
  <c r="R128" i="21"/>
  <c r="H129" i="21"/>
  <c r="O190" i="21"/>
  <c r="R185" i="21"/>
  <c r="P78" i="21"/>
  <c r="P91" i="21" s="1"/>
  <c r="N116" i="21"/>
  <c r="F116" i="21"/>
  <c r="B117" i="21"/>
  <c r="B130" i="21" s="1"/>
  <c r="D65" i="21"/>
  <c r="D67" i="21" s="1"/>
  <c r="N79" i="21"/>
  <c r="N111" i="21"/>
  <c r="N113" i="21"/>
  <c r="R113" i="21" s="1"/>
  <c r="F113" i="26" s="1"/>
  <c r="F113" i="21"/>
  <c r="F113" i="28" s="1"/>
  <c r="N115" i="21"/>
  <c r="R115" i="21" s="1"/>
  <c r="F115" i="26" s="1"/>
  <c r="K131" i="21"/>
  <c r="R122" i="21"/>
  <c r="L129" i="21"/>
  <c r="C150" i="21"/>
  <c r="R173" i="21"/>
  <c r="R178" i="21"/>
  <c r="F178" i="26" s="1"/>
  <c r="P190" i="21"/>
  <c r="R184" i="21"/>
  <c r="N202" i="21"/>
  <c r="R202" i="21" s="1"/>
  <c r="F202" i="21"/>
  <c r="N207" i="21"/>
  <c r="R207" i="21" s="1"/>
  <c r="F207" i="26" s="1"/>
  <c r="F228" i="26" s="1"/>
  <c r="L207" i="21"/>
  <c r="P79" i="21"/>
  <c r="P92" i="21" s="1"/>
  <c r="R123" i="21"/>
  <c r="R127" i="21"/>
  <c r="F127" i="26" s="1"/>
  <c r="I150" i="21"/>
  <c r="L148" i="21"/>
  <c r="F148" i="27" s="1"/>
  <c r="O152" i="21"/>
  <c r="L152" i="21"/>
  <c r="F152" i="27" s="1"/>
  <c r="I165" i="21"/>
  <c r="N174" i="21"/>
  <c r="R167" i="21"/>
  <c r="F167" i="26" s="1"/>
  <c r="H179" i="21"/>
  <c r="R104" i="21"/>
  <c r="F104" i="26" s="1"/>
  <c r="F152" i="21"/>
  <c r="F152" i="28" s="1"/>
  <c r="F167" i="21"/>
  <c r="F167" i="28" s="1"/>
  <c r="F174" i="28" s="1"/>
  <c r="F173" i="21"/>
  <c r="B174" i="21"/>
  <c r="F176" i="21"/>
  <c r="P148" i="21"/>
  <c r="L167" i="21"/>
  <c r="L174" i="21" s="1"/>
  <c r="F178" i="21"/>
  <c r="F178" i="28" s="1"/>
  <c r="B179" i="21"/>
  <c r="D129" i="24"/>
  <c r="N115" i="24"/>
  <c r="R115" i="24" s="1"/>
  <c r="E115" i="26" s="1"/>
  <c r="P114" i="24"/>
  <c r="N112" i="24"/>
  <c r="N105" i="24"/>
  <c r="R105" i="24" s="1"/>
  <c r="E105" i="26" s="1"/>
  <c r="I81" i="24"/>
  <c r="I94" i="24" s="1"/>
  <c r="I80" i="24"/>
  <c r="O80" i="24" s="1"/>
  <c r="O93" i="24" s="1"/>
  <c r="C82" i="24"/>
  <c r="F82" i="24" s="1"/>
  <c r="F95" i="24" s="1"/>
  <c r="C81" i="24"/>
  <c r="C80" i="24"/>
  <c r="C93" i="24" s="1"/>
  <c r="D78" i="24"/>
  <c r="D91" i="24"/>
  <c r="J79" i="22"/>
  <c r="D79" i="22"/>
  <c r="D92" i="24"/>
  <c r="R221" i="24"/>
  <c r="Q221" i="24"/>
  <c r="P221" i="24"/>
  <c r="O221" i="24"/>
  <c r="N221" i="24"/>
  <c r="L221" i="24"/>
  <c r="K221" i="24"/>
  <c r="J221" i="24"/>
  <c r="I221" i="24"/>
  <c r="H221" i="24"/>
  <c r="F221" i="24"/>
  <c r="E221" i="24"/>
  <c r="D221" i="24"/>
  <c r="C221" i="24"/>
  <c r="B221" i="24"/>
  <c r="A221" i="24"/>
  <c r="Q217" i="24"/>
  <c r="P217" i="24"/>
  <c r="O217" i="24"/>
  <c r="N217" i="24"/>
  <c r="Q216" i="24"/>
  <c r="P216" i="24"/>
  <c r="O216" i="24"/>
  <c r="R216" i="24" s="1"/>
  <c r="N216" i="24"/>
  <c r="L216" i="24"/>
  <c r="F216" i="24"/>
  <c r="Q215" i="24"/>
  <c r="P215" i="24"/>
  <c r="O215" i="24"/>
  <c r="N215" i="24"/>
  <c r="L215" i="24"/>
  <c r="F215" i="24"/>
  <c r="Q214" i="24"/>
  <c r="P214" i="24"/>
  <c r="O214" i="24"/>
  <c r="N214" i="24"/>
  <c r="L214" i="24"/>
  <c r="F214" i="24"/>
  <c r="Q213" i="24"/>
  <c r="P213" i="24"/>
  <c r="O213" i="24"/>
  <c r="N213" i="24"/>
  <c r="L213" i="24"/>
  <c r="E213" i="27" s="1"/>
  <c r="F213" i="24"/>
  <c r="E213" i="28" s="1"/>
  <c r="Q212" i="24"/>
  <c r="P212" i="24"/>
  <c r="O212" i="24"/>
  <c r="N212" i="24"/>
  <c r="L212" i="24"/>
  <c r="E212" i="27" s="1"/>
  <c r="F212" i="24"/>
  <c r="E212" i="28" s="1"/>
  <c r="Q211" i="24"/>
  <c r="P211" i="24"/>
  <c r="O211" i="24"/>
  <c r="N211" i="24"/>
  <c r="L211" i="24"/>
  <c r="E211" i="27" s="1"/>
  <c r="F211" i="24"/>
  <c r="E211" i="28" s="1"/>
  <c r="Q210" i="24"/>
  <c r="P210" i="24"/>
  <c r="O210" i="24"/>
  <c r="N210" i="24"/>
  <c r="L210" i="24"/>
  <c r="E210" i="27" s="1"/>
  <c r="F210" i="24"/>
  <c r="E210" i="28" s="1"/>
  <c r="Q209" i="24"/>
  <c r="P209" i="24"/>
  <c r="O209" i="24"/>
  <c r="N209" i="24"/>
  <c r="L209" i="24"/>
  <c r="E209" i="27" s="1"/>
  <c r="E229" i="27" s="1"/>
  <c r="E231" i="27" s="1"/>
  <c r="F209" i="24"/>
  <c r="E209" i="28" s="1"/>
  <c r="Q208" i="24"/>
  <c r="P208" i="24"/>
  <c r="O208" i="24"/>
  <c r="N208" i="24"/>
  <c r="L208" i="24"/>
  <c r="F208" i="24"/>
  <c r="E208" i="28" s="1"/>
  <c r="Q207" i="24"/>
  <c r="P207" i="24"/>
  <c r="O207" i="24"/>
  <c r="L207" i="24"/>
  <c r="F207" i="24"/>
  <c r="E207" i="28" s="1"/>
  <c r="K203" i="24"/>
  <c r="J203" i="24"/>
  <c r="I203" i="24"/>
  <c r="E203" i="24"/>
  <c r="D203" i="24"/>
  <c r="C203" i="24"/>
  <c r="Q202" i="24"/>
  <c r="P202" i="24"/>
  <c r="O202" i="24"/>
  <c r="L202" i="24"/>
  <c r="B202" i="24"/>
  <c r="Q201" i="24"/>
  <c r="P201" i="24"/>
  <c r="O201" i="24"/>
  <c r="N201" i="24"/>
  <c r="R201" i="24" s="1"/>
  <c r="L201" i="24"/>
  <c r="F201" i="24"/>
  <c r="Q200" i="24"/>
  <c r="P200" i="24"/>
  <c r="O200" i="24"/>
  <c r="L200" i="24"/>
  <c r="B200" i="24"/>
  <c r="Q199" i="24"/>
  <c r="P199" i="24"/>
  <c r="O199" i="24"/>
  <c r="N199" i="24"/>
  <c r="L199" i="24"/>
  <c r="F199" i="24"/>
  <c r="Q198" i="24"/>
  <c r="P198" i="24"/>
  <c r="O198" i="24"/>
  <c r="Q197" i="24"/>
  <c r="P197" i="24"/>
  <c r="O197" i="24"/>
  <c r="L197" i="24"/>
  <c r="E197" i="27" s="1"/>
  <c r="N197" i="24"/>
  <c r="R197" i="24" s="1"/>
  <c r="E197" i="26" s="1"/>
  <c r="Q196" i="24"/>
  <c r="P196" i="24"/>
  <c r="O196" i="24"/>
  <c r="L196" i="24"/>
  <c r="F196" i="24"/>
  <c r="E196" i="28" s="1"/>
  <c r="Q195" i="24"/>
  <c r="P195" i="24"/>
  <c r="O195" i="24"/>
  <c r="L195" i="24"/>
  <c r="F195" i="24"/>
  <c r="E195" i="28" s="1"/>
  <c r="Q194" i="24"/>
  <c r="P194" i="24"/>
  <c r="O194" i="24"/>
  <c r="N194" i="24"/>
  <c r="L194" i="24"/>
  <c r="F194" i="24"/>
  <c r="E194" i="28" s="1"/>
  <c r="Q193" i="24"/>
  <c r="P193" i="24"/>
  <c r="O193" i="24"/>
  <c r="N193" i="24"/>
  <c r="L193" i="24"/>
  <c r="F193" i="24"/>
  <c r="E193" i="28" s="1"/>
  <c r="Q192" i="24"/>
  <c r="P192" i="24"/>
  <c r="O192" i="24"/>
  <c r="N192" i="24"/>
  <c r="L192" i="24"/>
  <c r="F192" i="24"/>
  <c r="E192" i="28" s="1"/>
  <c r="O191" i="24"/>
  <c r="J190" i="24"/>
  <c r="I190" i="24"/>
  <c r="D190" i="24"/>
  <c r="C190" i="24"/>
  <c r="Q189" i="24"/>
  <c r="P189" i="24"/>
  <c r="O189" i="24"/>
  <c r="R189" i="24" s="1"/>
  <c r="N189" i="24"/>
  <c r="L189" i="24"/>
  <c r="F189" i="24"/>
  <c r="Q188" i="24"/>
  <c r="P188" i="24"/>
  <c r="O188" i="24"/>
  <c r="N188" i="24"/>
  <c r="L188" i="24"/>
  <c r="F188" i="24"/>
  <c r="Q187" i="24"/>
  <c r="P187" i="24"/>
  <c r="O187" i="24"/>
  <c r="N187" i="24"/>
  <c r="L187" i="24"/>
  <c r="F187" i="24"/>
  <c r="Q186" i="24"/>
  <c r="P186" i="24"/>
  <c r="O186" i="24"/>
  <c r="N186" i="24"/>
  <c r="R186" i="24" s="1"/>
  <c r="L186" i="24"/>
  <c r="F186" i="24"/>
  <c r="Q185" i="24"/>
  <c r="P185" i="24"/>
  <c r="O185" i="24"/>
  <c r="N185" i="24"/>
  <c r="L185" i="24"/>
  <c r="F185" i="24"/>
  <c r="Q184" i="24"/>
  <c r="P184" i="24"/>
  <c r="O184" i="24"/>
  <c r="L184" i="24"/>
  <c r="H184" i="24"/>
  <c r="H190" i="24" s="1"/>
  <c r="B184" i="24"/>
  <c r="Q183" i="24"/>
  <c r="P183" i="24"/>
  <c r="O183" i="24"/>
  <c r="N183" i="24"/>
  <c r="L183" i="24"/>
  <c r="F183" i="24"/>
  <c r="Q182" i="24"/>
  <c r="P182" i="24"/>
  <c r="O182" i="24"/>
  <c r="N182" i="24"/>
  <c r="L182" i="24"/>
  <c r="F182" i="24"/>
  <c r="P181" i="24"/>
  <c r="O181" i="24"/>
  <c r="O190" i="24" s="1"/>
  <c r="B181" i="24"/>
  <c r="R180" i="24"/>
  <c r="R191" i="24" s="1"/>
  <c r="Q180" i="24"/>
  <c r="Q191" i="24" s="1"/>
  <c r="P180" i="24"/>
  <c r="P191" i="24" s="1"/>
  <c r="O180" i="24"/>
  <c r="N180" i="24"/>
  <c r="N191" i="24" s="1"/>
  <c r="L180" i="24"/>
  <c r="L191" i="24" s="1"/>
  <c r="K180" i="24"/>
  <c r="K191" i="24" s="1"/>
  <c r="J180" i="24"/>
  <c r="J191" i="24" s="1"/>
  <c r="I180" i="24"/>
  <c r="I191" i="24" s="1"/>
  <c r="H180" i="24"/>
  <c r="H191" i="24" s="1"/>
  <c r="F180" i="24"/>
  <c r="F191" i="24" s="1"/>
  <c r="E180" i="24"/>
  <c r="E191" i="24" s="1"/>
  <c r="D180" i="24"/>
  <c r="D191" i="24" s="1"/>
  <c r="C180" i="24"/>
  <c r="C191" i="24" s="1"/>
  <c r="B180" i="24"/>
  <c r="B191" i="24" s="1"/>
  <c r="K179" i="24"/>
  <c r="J179" i="24"/>
  <c r="I179" i="24"/>
  <c r="E179" i="24"/>
  <c r="D179" i="24"/>
  <c r="C179" i="24"/>
  <c r="Q178" i="24"/>
  <c r="P178" i="24"/>
  <c r="O178" i="24"/>
  <c r="H178" i="24"/>
  <c r="L178" i="24" s="1"/>
  <c r="N178" i="24"/>
  <c r="Q177" i="24"/>
  <c r="P177" i="24"/>
  <c r="O177" i="24"/>
  <c r="H177" i="24"/>
  <c r="L177" i="24" s="1"/>
  <c r="Q176" i="24"/>
  <c r="P176" i="24"/>
  <c r="O176" i="24"/>
  <c r="H176" i="24"/>
  <c r="B179" i="24"/>
  <c r="K174" i="24"/>
  <c r="J174" i="24"/>
  <c r="I174" i="24"/>
  <c r="E174" i="24"/>
  <c r="D174" i="24"/>
  <c r="C174" i="24"/>
  <c r="Q173" i="24"/>
  <c r="P173" i="24"/>
  <c r="O173" i="24"/>
  <c r="H173" i="24"/>
  <c r="B173" i="24"/>
  <c r="F173" i="24" s="1"/>
  <c r="Q172" i="24"/>
  <c r="P172" i="24"/>
  <c r="O172" i="24"/>
  <c r="H172" i="24"/>
  <c r="L172" i="24" s="1"/>
  <c r="B172" i="24"/>
  <c r="Q171" i="24"/>
  <c r="P171" i="24"/>
  <c r="O171" i="24"/>
  <c r="N171" i="24"/>
  <c r="R171" i="24" s="1"/>
  <c r="L171" i="24"/>
  <c r="F171" i="24"/>
  <c r="Q170" i="24"/>
  <c r="P170" i="24"/>
  <c r="O170" i="24"/>
  <c r="N170" i="24"/>
  <c r="R170" i="24" s="1"/>
  <c r="E170" i="26" s="1"/>
  <c r="L170" i="24"/>
  <c r="F170" i="24"/>
  <c r="E170" i="28" s="1"/>
  <c r="Q169" i="24"/>
  <c r="P169" i="24"/>
  <c r="O169" i="24"/>
  <c r="N169" i="24"/>
  <c r="L169" i="24"/>
  <c r="F169" i="24"/>
  <c r="Q168" i="24"/>
  <c r="P168" i="24"/>
  <c r="O168" i="24"/>
  <c r="H168" i="24"/>
  <c r="L168" i="24" s="1"/>
  <c r="Q167" i="24"/>
  <c r="P167" i="24"/>
  <c r="P174" i="24" s="1"/>
  <c r="O167" i="24"/>
  <c r="H167" i="24"/>
  <c r="F167" i="24"/>
  <c r="E167" i="28" s="1"/>
  <c r="K166" i="24"/>
  <c r="K165" i="24"/>
  <c r="E165" i="24"/>
  <c r="Q164" i="24"/>
  <c r="P164" i="24"/>
  <c r="O164" i="24"/>
  <c r="N164" i="24"/>
  <c r="Q163" i="24"/>
  <c r="P163" i="24"/>
  <c r="O163" i="24"/>
  <c r="Q162" i="24"/>
  <c r="P162" i="24"/>
  <c r="O162" i="24"/>
  <c r="Q161" i="24"/>
  <c r="P161" i="24"/>
  <c r="O161" i="24"/>
  <c r="Q160" i="24"/>
  <c r="P160" i="24"/>
  <c r="O160" i="24"/>
  <c r="N160" i="24"/>
  <c r="L160" i="24"/>
  <c r="F160" i="24"/>
  <c r="Q159" i="24"/>
  <c r="P159" i="24"/>
  <c r="O159" i="24"/>
  <c r="Q158" i="24"/>
  <c r="P158" i="24"/>
  <c r="O158" i="24"/>
  <c r="N158" i="24"/>
  <c r="L158" i="24"/>
  <c r="F158" i="24"/>
  <c r="Q157" i="24"/>
  <c r="P157" i="24"/>
  <c r="O157" i="24"/>
  <c r="L157" i="24"/>
  <c r="E157" i="27" s="1"/>
  <c r="F157" i="24"/>
  <c r="E157" i="28" s="1"/>
  <c r="Q156" i="24"/>
  <c r="P156" i="24"/>
  <c r="O156" i="24"/>
  <c r="Q155" i="24"/>
  <c r="P155" i="24"/>
  <c r="O155" i="24"/>
  <c r="Q154" i="24"/>
  <c r="P154" i="24"/>
  <c r="O154" i="24"/>
  <c r="N154" i="24"/>
  <c r="L154" i="24"/>
  <c r="F154" i="24"/>
  <c r="Q153" i="24"/>
  <c r="O153" i="24"/>
  <c r="N153" i="24"/>
  <c r="Q152" i="24"/>
  <c r="P152" i="24"/>
  <c r="N152" i="24"/>
  <c r="C165" i="24"/>
  <c r="R151" i="24"/>
  <c r="R166" i="24" s="1"/>
  <c r="Q151" i="24"/>
  <c r="Q166" i="24" s="1"/>
  <c r="P151" i="24"/>
  <c r="P166" i="24" s="1"/>
  <c r="O151" i="24"/>
  <c r="O166" i="24" s="1"/>
  <c r="N151" i="24"/>
  <c r="N166" i="24" s="1"/>
  <c r="L151" i="24"/>
  <c r="L166" i="24" s="1"/>
  <c r="K151" i="24"/>
  <c r="J151" i="24"/>
  <c r="J166" i="24" s="1"/>
  <c r="I151" i="24"/>
  <c r="I166" i="24" s="1"/>
  <c r="H151" i="24"/>
  <c r="H166" i="24" s="1"/>
  <c r="F151" i="24"/>
  <c r="F166" i="24" s="1"/>
  <c r="E151" i="24"/>
  <c r="E166" i="24" s="1"/>
  <c r="D151" i="24"/>
  <c r="D166" i="24" s="1"/>
  <c r="C151" i="24"/>
  <c r="C166" i="24" s="1"/>
  <c r="B151" i="24"/>
  <c r="B166" i="24" s="1"/>
  <c r="K150" i="24"/>
  <c r="E150" i="24"/>
  <c r="Q149" i="24"/>
  <c r="P149" i="24"/>
  <c r="O149" i="24"/>
  <c r="N149" i="24"/>
  <c r="Q148" i="24"/>
  <c r="N148" i="24"/>
  <c r="J150" i="24"/>
  <c r="D150" i="24"/>
  <c r="Q147" i="24"/>
  <c r="P147" i="24"/>
  <c r="Q146" i="24"/>
  <c r="P146" i="24"/>
  <c r="O146" i="24"/>
  <c r="Q145" i="24"/>
  <c r="P145" i="24"/>
  <c r="O145" i="24"/>
  <c r="Q144" i="24"/>
  <c r="P144" i="24"/>
  <c r="Q143" i="24"/>
  <c r="P143" i="24"/>
  <c r="O143" i="24"/>
  <c r="N143" i="24"/>
  <c r="L143" i="24"/>
  <c r="F143" i="24"/>
  <c r="Q142" i="24"/>
  <c r="P142" i="24"/>
  <c r="O142" i="24"/>
  <c r="N142" i="24"/>
  <c r="L142" i="24"/>
  <c r="E142" i="27" s="1"/>
  <c r="F142" i="24"/>
  <c r="E142" i="28" s="1"/>
  <c r="Q141" i="24"/>
  <c r="P141" i="24"/>
  <c r="O141" i="24"/>
  <c r="N141" i="24"/>
  <c r="L141" i="24"/>
  <c r="F141" i="24"/>
  <c r="Q140" i="24"/>
  <c r="P140" i="24"/>
  <c r="O140" i="24"/>
  <c r="R139" i="24"/>
  <c r="Q139" i="24"/>
  <c r="P139" i="24"/>
  <c r="O139" i="24"/>
  <c r="N139" i="24"/>
  <c r="L139" i="24"/>
  <c r="K139" i="24"/>
  <c r="J139" i="24"/>
  <c r="I139" i="24"/>
  <c r="H139" i="24"/>
  <c r="F139" i="24"/>
  <c r="E139" i="24"/>
  <c r="D139" i="24"/>
  <c r="C139" i="24"/>
  <c r="B139" i="24"/>
  <c r="Q135" i="24"/>
  <c r="P135" i="24"/>
  <c r="O135" i="24"/>
  <c r="L135" i="24"/>
  <c r="F135" i="24"/>
  <c r="B135" i="24"/>
  <c r="N135" i="24" s="1"/>
  <c r="Q134" i="24"/>
  <c r="P134" i="24"/>
  <c r="O134" i="24"/>
  <c r="N134" i="24"/>
  <c r="J129" i="24"/>
  <c r="J130" i="24" s="1"/>
  <c r="H129" i="24"/>
  <c r="Q128" i="24"/>
  <c r="P128" i="24"/>
  <c r="O128" i="24"/>
  <c r="B128" i="24"/>
  <c r="B129" i="24" s="1"/>
  <c r="P127" i="24"/>
  <c r="N127" i="24"/>
  <c r="K129" i="24"/>
  <c r="K130" i="24" s="1"/>
  <c r="Q127" i="24"/>
  <c r="C127" i="24"/>
  <c r="Q126" i="24"/>
  <c r="P126" i="24"/>
  <c r="O126" i="24"/>
  <c r="N126" i="24"/>
  <c r="F126" i="24"/>
  <c r="Q125" i="24"/>
  <c r="P125" i="24"/>
  <c r="N125" i="24"/>
  <c r="Q124" i="24"/>
  <c r="P124" i="24"/>
  <c r="O124" i="24"/>
  <c r="N124" i="24"/>
  <c r="F124" i="24"/>
  <c r="Q123" i="24"/>
  <c r="P123" i="24"/>
  <c r="O123" i="24"/>
  <c r="N123" i="24"/>
  <c r="F123" i="24"/>
  <c r="Q122" i="24"/>
  <c r="P122" i="24"/>
  <c r="O122" i="24"/>
  <c r="N122" i="24"/>
  <c r="F122" i="24"/>
  <c r="Q121" i="24"/>
  <c r="P121" i="24"/>
  <c r="O121" i="24"/>
  <c r="N121" i="24"/>
  <c r="Q120" i="24"/>
  <c r="P120" i="24"/>
  <c r="O120" i="24"/>
  <c r="N120" i="24"/>
  <c r="F120" i="24"/>
  <c r="Q119" i="24"/>
  <c r="P119" i="24"/>
  <c r="O119" i="24"/>
  <c r="N119" i="24"/>
  <c r="F119" i="24"/>
  <c r="R118" i="24"/>
  <c r="Q118" i="24"/>
  <c r="P118" i="24"/>
  <c r="O118" i="24"/>
  <c r="N118" i="24"/>
  <c r="F118" i="24"/>
  <c r="E118" i="24"/>
  <c r="D118" i="24"/>
  <c r="C118" i="24"/>
  <c r="B118" i="24"/>
  <c r="E117" i="24"/>
  <c r="Q116" i="24"/>
  <c r="P116" i="24"/>
  <c r="C116" i="24"/>
  <c r="O116" i="24" s="1"/>
  <c r="B116" i="24"/>
  <c r="Q115" i="24"/>
  <c r="P115" i="24"/>
  <c r="O115" i="24"/>
  <c r="F115" i="24"/>
  <c r="E115" i="28" s="1"/>
  <c r="Q114" i="24"/>
  <c r="B114" i="24"/>
  <c r="Q113" i="24"/>
  <c r="P113" i="24"/>
  <c r="O113" i="24"/>
  <c r="Q112" i="24"/>
  <c r="P112" i="24"/>
  <c r="O112" i="24"/>
  <c r="Q111" i="24"/>
  <c r="O111" i="24"/>
  <c r="N111" i="24"/>
  <c r="F111" i="24"/>
  <c r="E111" i="28" s="1"/>
  <c r="B111" i="24"/>
  <c r="Q110" i="24"/>
  <c r="P110" i="24"/>
  <c r="O110" i="24"/>
  <c r="N110" i="24"/>
  <c r="F110" i="24"/>
  <c r="Q109" i="24"/>
  <c r="P109" i="24"/>
  <c r="O109" i="24"/>
  <c r="Q108" i="24"/>
  <c r="P108" i="24"/>
  <c r="O108" i="24"/>
  <c r="N108" i="24"/>
  <c r="Q107" i="24"/>
  <c r="P107" i="24"/>
  <c r="O107" i="24"/>
  <c r="N107" i="24"/>
  <c r="F107" i="24"/>
  <c r="E107" i="28" s="1"/>
  <c r="Q106" i="24"/>
  <c r="P106" i="24"/>
  <c r="O106" i="24"/>
  <c r="N106" i="24"/>
  <c r="Q105" i="24"/>
  <c r="P105" i="24"/>
  <c r="O105" i="24"/>
  <c r="Q104" i="24"/>
  <c r="P104" i="24"/>
  <c r="O104" i="24"/>
  <c r="R102" i="24"/>
  <c r="Q102" i="24"/>
  <c r="P102" i="24"/>
  <c r="O102" i="24"/>
  <c r="N102" i="24"/>
  <c r="L102" i="24"/>
  <c r="K102" i="24"/>
  <c r="J102" i="24"/>
  <c r="I102" i="24"/>
  <c r="H102" i="24"/>
  <c r="F102" i="24"/>
  <c r="E102" i="24"/>
  <c r="D102" i="24"/>
  <c r="C102" i="24"/>
  <c r="B102" i="24"/>
  <c r="K99" i="24"/>
  <c r="J99" i="24"/>
  <c r="I99" i="24"/>
  <c r="H99" i="24"/>
  <c r="E99" i="24"/>
  <c r="D99" i="24"/>
  <c r="C99" i="24"/>
  <c r="B99" i="24"/>
  <c r="N98" i="24"/>
  <c r="K98" i="24"/>
  <c r="J98" i="24"/>
  <c r="I98" i="24"/>
  <c r="H98" i="24"/>
  <c r="E98" i="24"/>
  <c r="D98" i="24"/>
  <c r="C98" i="24"/>
  <c r="B98" i="24"/>
  <c r="K97" i="24"/>
  <c r="J97" i="24"/>
  <c r="I97" i="24"/>
  <c r="H97" i="24"/>
  <c r="E97" i="24"/>
  <c r="D97" i="24"/>
  <c r="C97" i="24"/>
  <c r="B97" i="24"/>
  <c r="K96" i="24"/>
  <c r="J96" i="24"/>
  <c r="I96" i="24"/>
  <c r="H96" i="24"/>
  <c r="E96" i="24"/>
  <c r="D96" i="24"/>
  <c r="C96" i="24"/>
  <c r="B96" i="24"/>
  <c r="K95" i="24"/>
  <c r="J95" i="24"/>
  <c r="E95" i="24"/>
  <c r="D95" i="24"/>
  <c r="K94" i="24"/>
  <c r="J94" i="24"/>
  <c r="E94" i="24"/>
  <c r="D94" i="24"/>
  <c r="Q93" i="24"/>
  <c r="K93" i="24"/>
  <c r="J93" i="24"/>
  <c r="E93" i="24"/>
  <c r="D93" i="24"/>
  <c r="K92" i="24"/>
  <c r="E92" i="24"/>
  <c r="K91" i="24"/>
  <c r="E91" i="24"/>
  <c r="P90" i="24"/>
  <c r="J90" i="24"/>
  <c r="D90" i="24"/>
  <c r="Q89" i="24"/>
  <c r="O89" i="24"/>
  <c r="K89" i="24"/>
  <c r="J89" i="24"/>
  <c r="L89" i="24" s="1"/>
  <c r="I89" i="24"/>
  <c r="E89" i="24"/>
  <c r="D89" i="24"/>
  <c r="F89" i="24" s="1"/>
  <c r="C89" i="24"/>
  <c r="A89" i="24"/>
  <c r="Q88" i="24"/>
  <c r="P88" i="24"/>
  <c r="O88" i="24"/>
  <c r="K88" i="24"/>
  <c r="J88" i="24"/>
  <c r="I88" i="24"/>
  <c r="E88" i="24"/>
  <c r="D88" i="24"/>
  <c r="C88" i="24"/>
  <c r="Q86" i="24"/>
  <c r="Q99" i="24" s="1"/>
  <c r="P86" i="24"/>
  <c r="P99" i="24" s="1"/>
  <c r="O86" i="24"/>
  <c r="O99" i="24" s="1"/>
  <c r="N86" i="24"/>
  <c r="N99" i="24" s="1"/>
  <c r="L86" i="24"/>
  <c r="L99" i="24" s="1"/>
  <c r="F86" i="24"/>
  <c r="F99" i="24" s="1"/>
  <c r="Q85" i="24"/>
  <c r="Q98" i="24" s="1"/>
  <c r="P85" i="24"/>
  <c r="P98" i="24" s="1"/>
  <c r="O85" i="24"/>
  <c r="O98" i="24" s="1"/>
  <c r="N85" i="24"/>
  <c r="R85" i="24" s="1"/>
  <c r="R98" i="24" s="1"/>
  <c r="L85" i="24"/>
  <c r="L98" i="24" s="1"/>
  <c r="F85" i="24"/>
  <c r="F98" i="24" s="1"/>
  <c r="Q84" i="24"/>
  <c r="Q97" i="24" s="1"/>
  <c r="P84" i="24"/>
  <c r="P97" i="24" s="1"/>
  <c r="O84" i="24"/>
  <c r="O97" i="24" s="1"/>
  <c r="N84" i="24"/>
  <c r="N97" i="24" s="1"/>
  <c r="L84" i="24"/>
  <c r="L97" i="24" s="1"/>
  <c r="F84" i="24"/>
  <c r="F97" i="24" s="1"/>
  <c r="Q83" i="24"/>
  <c r="Q96" i="24" s="1"/>
  <c r="P83" i="24"/>
  <c r="P96" i="24" s="1"/>
  <c r="O83" i="24"/>
  <c r="O96" i="24" s="1"/>
  <c r="N83" i="24"/>
  <c r="N96" i="24" s="1"/>
  <c r="L83" i="24"/>
  <c r="L96" i="24" s="1"/>
  <c r="F83" i="24"/>
  <c r="F96" i="24" s="1"/>
  <c r="Q82" i="24"/>
  <c r="Q95" i="24" s="1"/>
  <c r="P82" i="24"/>
  <c r="P95" i="24" s="1"/>
  <c r="H82" i="24"/>
  <c r="H95" i="24" s="1"/>
  <c r="B82" i="24"/>
  <c r="B95" i="24" s="1"/>
  <c r="Q81" i="24"/>
  <c r="Q94" i="24" s="1"/>
  <c r="P81" i="24"/>
  <c r="P94" i="24" s="1"/>
  <c r="H81" i="24"/>
  <c r="H94" i="24" s="1"/>
  <c r="B81" i="24"/>
  <c r="B94" i="24" s="1"/>
  <c r="Q80" i="24"/>
  <c r="P80" i="24"/>
  <c r="P93" i="24" s="1"/>
  <c r="I93" i="24"/>
  <c r="H80" i="24"/>
  <c r="H93" i="24" s="1"/>
  <c r="B80" i="24"/>
  <c r="Q79" i="24"/>
  <c r="Q92" i="24" s="1"/>
  <c r="J92" i="24"/>
  <c r="I79" i="24"/>
  <c r="I92" i="24" s="1"/>
  <c r="H79" i="24"/>
  <c r="H92" i="24" s="1"/>
  <c r="C79" i="24"/>
  <c r="C92" i="24" s="1"/>
  <c r="B79" i="24"/>
  <c r="B92" i="24" s="1"/>
  <c r="Q78" i="24"/>
  <c r="Q91" i="24" s="1"/>
  <c r="J78" i="24"/>
  <c r="J91" i="24" s="1"/>
  <c r="I78" i="24"/>
  <c r="I91" i="24" s="1"/>
  <c r="H78" i="24"/>
  <c r="H91" i="24" s="1"/>
  <c r="C78" i="24"/>
  <c r="C91" i="24" s="1"/>
  <c r="B78" i="24"/>
  <c r="B91" i="24" s="1"/>
  <c r="P77" i="24"/>
  <c r="I77" i="24"/>
  <c r="I90" i="24" s="1"/>
  <c r="H77" i="24"/>
  <c r="H90" i="24" s="1"/>
  <c r="C77" i="24"/>
  <c r="C90" i="24" s="1"/>
  <c r="B77" i="24"/>
  <c r="B90" i="24" s="1"/>
  <c r="Q76" i="24"/>
  <c r="P76" i="24"/>
  <c r="P89" i="24" s="1"/>
  <c r="R89" i="24" s="1"/>
  <c r="I76" i="24"/>
  <c r="C76" i="24"/>
  <c r="Q75" i="24"/>
  <c r="P75" i="24"/>
  <c r="I75" i="24"/>
  <c r="C75" i="24"/>
  <c r="Q74" i="24"/>
  <c r="O74" i="24"/>
  <c r="N74" i="24"/>
  <c r="K74" i="24"/>
  <c r="I74" i="24"/>
  <c r="H74" i="24"/>
  <c r="E74" i="24"/>
  <c r="C74" i="24"/>
  <c r="B74" i="24"/>
  <c r="J65" i="24"/>
  <c r="I65" i="24"/>
  <c r="C65" i="24"/>
  <c r="K66" i="24"/>
  <c r="J66" i="24"/>
  <c r="I66" i="24"/>
  <c r="H66" i="24"/>
  <c r="E66" i="24"/>
  <c r="D66" i="24"/>
  <c r="C66" i="24"/>
  <c r="C67" i="24" s="1"/>
  <c r="B66" i="24"/>
  <c r="Q62" i="24"/>
  <c r="P62" i="24"/>
  <c r="O62" i="24"/>
  <c r="N62" i="24"/>
  <c r="L62" i="24"/>
  <c r="F62" i="24"/>
  <c r="Q61" i="24"/>
  <c r="P61" i="24"/>
  <c r="O61" i="24"/>
  <c r="O65" i="24" s="1"/>
  <c r="N61" i="24"/>
  <c r="L61" i="24"/>
  <c r="F61" i="24"/>
  <c r="Q60" i="24"/>
  <c r="P60" i="24"/>
  <c r="O60" i="24"/>
  <c r="N60" i="24"/>
  <c r="L60" i="24"/>
  <c r="F60" i="24"/>
  <c r="Q59" i="24"/>
  <c r="P59" i="24"/>
  <c r="O59" i="24"/>
  <c r="N59" i="24"/>
  <c r="L59" i="24"/>
  <c r="F59" i="24"/>
  <c r="Q58" i="24"/>
  <c r="P58" i="24"/>
  <c r="O58" i="24"/>
  <c r="N58" i="24"/>
  <c r="R58" i="24" s="1"/>
  <c r="L58" i="24"/>
  <c r="F58" i="24"/>
  <c r="Q57" i="24"/>
  <c r="P57" i="24"/>
  <c r="O57" i="24"/>
  <c r="N57" i="24"/>
  <c r="R57" i="24" s="1"/>
  <c r="L57" i="24"/>
  <c r="F57" i="24"/>
  <c r="Q56" i="24"/>
  <c r="P56" i="24"/>
  <c r="O56" i="24"/>
  <c r="N56" i="24"/>
  <c r="R56" i="24" s="1"/>
  <c r="L56" i="24"/>
  <c r="F56" i="24"/>
  <c r="Q55" i="24"/>
  <c r="P55" i="24"/>
  <c r="O55" i="24"/>
  <c r="N55" i="24"/>
  <c r="R55" i="24" s="1"/>
  <c r="L55" i="24"/>
  <c r="F55" i="24"/>
  <c r="Q54" i="24"/>
  <c r="P54" i="24"/>
  <c r="O54" i="24"/>
  <c r="N54" i="24"/>
  <c r="L54" i="24"/>
  <c r="F54" i="24"/>
  <c r="Q53" i="24"/>
  <c r="P53" i="24"/>
  <c r="O53" i="24"/>
  <c r="N53" i="24"/>
  <c r="L53" i="24"/>
  <c r="F53" i="24"/>
  <c r="Q52" i="24"/>
  <c r="P52" i="24"/>
  <c r="O52" i="24"/>
  <c r="N52" i="24"/>
  <c r="L52" i="24"/>
  <c r="E52" i="27" s="1"/>
  <c r="F52" i="24"/>
  <c r="Q51" i="24"/>
  <c r="P51" i="24"/>
  <c r="O51" i="24"/>
  <c r="N51" i="24"/>
  <c r="L51" i="24"/>
  <c r="F51" i="24"/>
  <c r="Q50" i="24"/>
  <c r="P50" i="24"/>
  <c r="O50" i="24"/>
  <c r="N50" i="24"/>
  <c r="R50" i="24" s="1"/>
  <c r="L50" i="24"/>
  <c r="F50" i="24"/>
  <c r="Q49" i="24"/>
  <c r="P49" i="24"/>
  <c r="O49" i="24"/>
  <c r="N49" i="24"/>
  <c r="R49" i="24" s="1"/>
  <c r="L49" i="24"/>
  <c r="F49" i="24"/>
  <c r="Q48" i="24"/>
  <c r="P48" i="24"/>
  <c r="O48" i="24"/>
  <c r="N48" i="24"/>
  <c r="R48" i="24" s="1"/>
  <c r="L48" i="24"/>
  <c r="F48" i="24"/>
  <c r="Q47" i="24"/>
  <c r="P47" i="24"/>
  <c r="O47" i="24"/>
  <c r="N47" i="24"/>
  <c r="R47" i="24" s="1"/>
  <c r="F47" i="24"/>
  <c r="Q46" i="24"/>
  <c r="P46" i="24"/>
  <c r="O46" i="24"/>
  <c r="N46" i="24"/>
  <c r="F46" i="24"/>
  <c r="Q45" i="24"/>
  <c r="P45" i="24"/>
  <c r="O45" i="24"/>
  <c r="N45" i="24"/>
  <c r="Q44" i="24"/>
  <c r="P44" i="24"/>
  <c r="O44" i="24"/>
  <c r="N44" i="24"/>
  <c r="F44" i="24"/>
  <c r="Q43" i="24"/>
  <c r="P43" i="24"/>
  <c r="O43" i="24"/>
  <c r="N43" i="24"/>
  <c r="R43" i="24" s="1"/>
  <c r="E43" i="26" s="1"/>
  <c r="F5" i="35" s="1"/>
  <c r="L43" i="24"/>
  <c r="E43" i="27" s="1"/>
  <c r="F43" i="24"/>
  <c r="Q42" i="24"/>
  <c r="P42" i="24"/>
  <c r="O42" i="24"/>
  <c r="O66" i="24" s="1"/>
  <c r="N42" i="24"/>
  <c r="R42" i="24" s="1"/>
  <c r="L42" i="24"/>
  <c r="F42" i="24"/>
  <c r="K39" i="24"/>
  <c r="J39" i="24"/>
  <c r="I39" i="24"/>
  <c r="H39" i="24"/>
  <c r="H109" i="24" s="1"/>
  <c r="E39" i="24"/>
  <c r="Q136" i="24" s="1"/>
  <c r="D39" i="24"/>
  <c r="P136" i="24" s="1"/>
  <c r="C39" i="24"/>
  <c r="B39" i="24"/>
  <c r="B65" i="24" s="1"/>
  <c r="Q38" i="24"/>
  <c r="P38" i="24"/>
  <c r="O38" i="24"/>
  <c r="N38" i="24"/>
  <c r="L38" i="24"/>
  <c r="F38" i="24"/>
  <c r="Q37" i="24"/>
  <c r="P37" i="24"/>
  <c r="O37" i="24"/>
  <c r="N37" i="24"/>
  <c r="L37" i="24"/>
  <c r="F37" i="24"/>
  <c r="Q36" i="24"/>
  <c r="P36" i="24"/>
  <c r="O36" i="24"/>
  <c r="N36" i="24"/>
  <c r="L36" i="24"/>
  <c r="F36" i="24"/>
  <c r="Q35" i="24"/>
  <c r="P35" i="24"/>
  <c r="O35" i="24"/>
  <c r="R35" i="24" s="1"/>
  <c r="N35" i="24"/>
  <c r="L35" i="24"/>
  <c r="F35" i="24"/>
  <c r="Q34" i="24"/>
  <c r="P34" i="24"/>
  <c r="O34" i="24"/>
  <c r="N34" i="24"/>
  <c r="L34" i="24"/>
  <c r="F34" i="24"/>
  <c r="Q33" i="24"/>
  <c r="P33" i="24"/>
  <c r="O33" i="24"/>
  <c r="N33" i="24"/>
  <c r="R33" i="24" s="1"/>
  <c r="L33" i="24"/>
  <c r="F33" i="24"/>
  <c r="Q32" i="24"/>
  <c r="P32" i="24"/>
  <c r="O32" i="24"/>
  <c r="N32" i="24"/>
  <c r="R32" i="24" s="1"/>
  <c r="L32" i="24"/>
  <c r="F32" i="24"/>
  <c r="Q31" i="24"/>
  <c r="P31" i="24"/>
  <c r="O31" i="24"/>
  <c r="N31" i="24"/>
  <c r="L31" i="24"/>
  <c r="F31" i="24"/>
  <c r="Q30" i="24"/>
  <c r="P30" i="24"/>
  <c r="O30" i="24"/>
  <c r="N30" i="24"/>
  <c r="L30" i="24"/>
  <c r="E30" i="27" s="1"/>
  <c r="F30" i="24"/>
  <c r="Q29" i="24"/>
  <c r="P29" i="24"/>
  <c r="O29" i="24"/>
  <c r="N29" i="24"/>
  <c r="N39" i="24" s="1"/>
  <c r="N65" i="24" s="1"/>
  <c r="L29" i="24"/>
  <c r="F29" i="24"/>
  <c r="R27" i="24"/>
  <c r="L27" i="24"/>
  <c r="F27" i="24"/>
  <c r="Q26" i="24"/>
  <c r="P26" i="24"/>
  <c r="N26" i="24"/>
  <c r="O26" i="24"/>
  <c r="R26" i="24" s="1"/>
  <c r="E26" i="26" s="1"/>
  <c r="F26" i="24"/>
  <c r="L25" i="24"/>
  <c r="E25" i="27" s="1"/>
  <c r="F25" i="24"/>
  <c r="Q24" i="24"/>
  <c r="P24" i="24"/>
  <c r="O24" i="24"/>
  <c r="N24" i="24"/>
  <c r="L24" i="24"/>
  <c r="E24" i="27" s="1"/>
  <c r="F24" i="24"/>
  <c r="Q23" i="24"/>
  <c r="P23" i="24"/>
  <c r="O23" i="24"/>
  <c r="N23" i="24"/>
  <c r="L23" i="24"/>
  <c r="E23" i="27" s="1"/>
  <c r="F23" i="24"/>
  <c r="Q22" i="24"/>
  <c r="P22" i="24"/>
  <c r="O22" i="24"/>
  <c r="N22" i="24"/>
  <c r="L22" i="24"/>
  <c r="E22" i="27" s="1"/>
  <c r="F22" i="24"/>
  <c r="N18" i="24"/>
  <c r="R18" i="24" s="1"/>
  <c r="L18" i="24"/>
  <c r="F18" i="24"/>
  <c r="N17" i="24"/>
  <c r="R17" i="24" s="1"/>
  <c r="L17" i="24"/>
  <c r="F17" i="24"/>
  <c r="N16" i="24"/>
  <c r="R16" i="24" s="1"/>
  <c r="L16" i="24"/>
  <c r="F16" i="24"/>
  <c r="N15" i="24"/>
  <c r="R15" i="24" s="1"/>
  <c r="L15" i="24"/>
  <c r="F15" i="24"/>
  <c r="N14" i="24"/>
  <c r="R14" i="24" s="1"/>
  <c r="E14" i="26" s="1"/>
  <c r="L14" i="24"/>
  <c r="E14" i="27" s="1"/>
  <c r="F46" i="31" s="1"/>
  <c r="B14" i="24"/>
  <c r="F14" i="24" s="1"/>
  <c r="L13" i="24"/>
  <c r="B13" i="24"/>
  <c r="F13" i="24" s="1"/>
  <c r="L12" i="24"/>
  <c r="B12" i="24"/>
  <c r="N12" i="24" s="1"/>
  <c r="R12" i="24" s="1"/>
  <c r="L11" i="24"/>
  <c r="E11" i="27" s="1"/>
  <c r="F43" i="31" s="1"/>
  <c r="F11" i="24"/>
  <c r="B11" i="24"/>
  <c r="N11" i="24" s="1"/>
  <c r="R11" i="24" s="1"/>
  <c r="E11" i="26" s="1"/>
  <c r="L10" i="24"/>
  <c r="B10" i="24"/>
  <c r="F10" i="24" s="1"/>
  <c r="L9" i="24"/>
  <c r="B9" i="24"/>
  <c r="N9" i="24" s="1"/>
  <c r="R9" i="24" s="1"/>
  <c r="L8" i="24"/>
  <c r="B8" i="24"/>
  <c r="N7" i="24"/>
  <c r="R7" i="24" s="1"/>
  <c r="L7" i="24"/>
  <c r="F7" i="24"/>
  <c r="B7" i="24"/>
  <c r="N6" i="24"/>
  <c r="L6" i="24"/>
  <c r="H19" i="24"/>
  <c r="B6" i="24"/>
  <c r="F6" i="24" s="1"/>
  <c r="H5" i="24"/>
  <c r="R3" i="24"/>
  <c r="L3" i="24"/>
  <c r="F3" i="24"/>
  <c r="N2" i="24"/>
  <c r="R2" i="24" s="1"/>
  <c r="E2" i="26" s="1"/>
  <c r="M2" i="26" s="1"/>
  <c r="L2" i="24"/>
  <c r="F2" i="24"/>
  <c r="H112" i="22"/>
  <c r="F90" i="25" l="1"/>
  <c r="G90" i="28" s="1"/>
  <c r="G100" i="28" s="1"/>
  <c r="G77" i="28"/>
  <c r="G87" i="28" s="1"/>
  <c r="G72" i="28" s="1"/>
  <c r="H129" i="30"/>
  <c r="H137" i="30" s="1"/>
  <c r="H138" i="30" s="1"/>
  <c r="H22" i="35"/>
  <c r="R63" i="21"/>
  <c r="F44" i="26"/>
  <c r="F63" i="24"/>
  <c r="E44" i="28"/>
  <c r="E63" i="28" s="1"/>
  <c r="E66" i="28" s="1"/>
  <c r="E67" i="28" s="1"/>
  <c r="N63" i="24"/>
  <c r="N66" i="24" s="1"/>
  <c r="N67" i="24" s="1"/>
  <c r="R44" i="24"/>
  <c r="F174" i="26"/>
  <c r="F179" i="26"/>
  <c r="F179" i="21"/>
  <c r="F176" i="28"/>
  <c r="F179" i="28" s="1"/>
  <c r="G150" i="28"/>
  <c r="F129" i="28"/>
  <c r="F129" i="26"/>
  <c r="N161" i="25"/>
  <c r="R161" i="25" s="1"/>
  <c r="G161" i="26" s="1"/>
  <c r="E2" i="28"/>
  <c r="M2" i="28" s="1"/>
  <c r="E2" i="27"/>
  <c r="L2" i="27" s="1"/>
  <c r="M8" i="26"/>
  <c r="G40" i="29"/>
  <c r="G29" i="29"/>
  <c r="G73" i="29"/>
  <c r="M14" i="26"/>
  <c r="G46" i="29"/>
  <c r="M9" i="26"/>
  <c r="G41" i="29"/>
  <c r="G72" i="31"/>
  <c r="G28" i="31"/>
  <c r="M10" i="26"/>
  <c r="G42" i="29"/>
  <c r="M12" i="26"/>
  <c r="G44" i="29"/>
  <c r="G51" i="31"/>
  <c r="M51" i="31" s="1"/>
  <c r="G71" i="29"/>
  <c r="G27" i="29"/>
  <c r="G26" i="31"/>
  <c r="G70" i="31"/>
  <c r="G28" i="29"/>
  <c r="G72" i="29"/>
  <c r="M13" i="26"/>
  <c r="G45" i="29"/>
  <c r="F88" i="21"/>
  <c r="F5" i="28"/>
  <c r="G29" i="31"/>
  <c r="G73" i="31"/>
  <c r="G74" i="31" s="1"/>
  <c r="M74" i="31" s="1"/>
  <c r="G38" i="29"/>
  <c r="M6" i="26"/>
  <c r="N198" i="21"/>
  <c r="B75" i="21"/>
  <c r="F75" i="21" s="1"/>
  <c r="F75" i="28" s="1"/>
  <c r="G39" i="29"/>
  <c r="M7" i="26"/>
  <c r="G27" i="31"/>
  <c r="G30" i="31" s="1"/>
  <c r="M30" i="31" s="1"/>
  <c r="G71" i="31"/>
  <c r="G70" i="29"/>
  <c r="G26" i="29"/>
  <c r="P137" i="25"/>
  <c r="P138" i="25" s="1"/>
  <c r="R131" i="25"/>
  <c r="G131" i="26" s="1"/>
  <c r="F67" i="27"/>
  <c r="R30" i="24"/>
  <c r="E30" i="26" s="1"/>
  <c r="F11" i="35" s="1"/>
  <c r="F33" i="35"/>
  <c r="F37" i="30"/>
  <c r="F38" i="35"/>
  <c r="F43" i="30"/>
  <c r="J19" i="33"/>
  <c r="F25" i="31"/>
  <c r="F69" i="31"/>
  <c r="G45" i="30"/>
  <c r="O45" i="30" s="1"/>
  <c r="F22" i="31"/>
  <c r="F66" i="31"/>
  <c r="F74" i="31" s="1"/>
  <c r="F51" i="31"/>
  <c r="L51" i="31" s="1"/>
  <c r="E66" i="27"/>
  <c r="F27" i="35"/>
  <c r="F28" i="30"/>
  <c r="E63" i="27"/>
  <c r="G44" i="35"/>
  <c r="M112" i="27"/>
  <c r="G137" i="27"/>
  <c r="G138" i="27" s="1"/>
  <c r="F137" i="25"/>
  <c r="F138" i="25" s="1"/>
  <c r="G132" i="28"/>
  <c r="G137" i="28" s="1"/>
  <c r="G138" i="28" s="1"/>
  <c r="F43" i="29"/>
  <c r="L11" i="26"/>
  <c r="L14" i="26"/>
  <c r="F96" i="30" s="1"/>
  <c r="F46" i="29"/>
  <c r="F68" i="30"/>
  <c r="F89" i="30"/>
  <c r="G83" i="30"/>
  <c r="G104" i="30"/>
  <c r="M11" i="26"/>
  <c r="G43" i="29"/>
  <c r="G71" i="30"/>
  <c r="G92" i="30"/>
  <c r="F63" i="26"/>
  <c r="F66" i="26" s="1"/>
  <c r="B165" i="25"/>
  <c r="F161" i="25"/>
  <c r="G161" i="28" s="1"/>
  <c r="G165" i="28" s="1"/>
  <c r="F216" i="28"/>
  <c r="F216" i="27"/>
  <c r="F216" i="26"/>
  <c r="R213" i="24"/>
  <c r="E213" i="26" s="1"/>
  <c r="R211" i="24"/>
  <c r="E211" i="26" s="1"/>
  <c r="E216" i="28"/>
  <c r="E216" i="27"/>
  <c r="E216" i="26"/>
  <c r="E3" i="26"/>
  <c r="E3" i="27"/>
  <c r="E3" i="28"/>
  <c r="O133" i="21"/>
  <c r="Q133" i="21"/>
  <c r="G117" i="26"/>
  <c r="G130" i="26" s="1"/>
  <c r="H20" i="35" s="1"/>
  <c r="H48" i="35" s="1"/>
  <c r="R95" i="25"/>
  <c r="G95" i="26" s="1"/>
  <c r="G82" i="26"/>
  <c r="R91" i="25"/>
  <c r="G91" i="26" s="1"/>
  <c r="G78" i="26"/>
  <c r="L100" i="25"/>
  <c r="G88" i="27"/>
  <c r="R203" i="25"/>
  <c r="G198" i="26"/>
  <c r="G203" i="26" s="1"/>
  <c r="R88" i="25"/>
  <c r="G5" i="26"/>
  <c r="L203" i="25"/>
  <c r="G198" i="27"/>
  <c r="G203" i="27" s="1"/>
  <c r="R39" i="21"/>
  <c r="F30" i="26"/>
  <c r="L91" i="21"/>
  <c r="F91" i="27" s="1"/>
  <c r="F78" i="27"/>
  <c r="L92" i="21"/>
  <c r="F92" i="27" s="1"/>
  <c r="F79" i="27"/>
  <c r="L94" i="21"/>
  <c r="F94" i="27" s="1"/>
  <c r="F81" i="27"/>
  <c r="L93" i="21"/>
  <c r="F93" i="27" s="1"/>
  <c r="F80" i="27"/>
  <c r="O148" i="24"/>
  <c r="I150" i="24"/>
  <c r="L39" i="24"/>
  <c r="L136" i="24" s="1"/>
  <c r="E136" i="27" s="1"/>
  <c r="E29" i="27"/>
  <c r="L87" i="25"/>
  <c r="M87" i="25" s="1"/>
  <c r="G75" i="27"/>
  <c r="G87" i="27" s="1"/>
  <c r="Q39" i="24"/>
  <c r="Q65" i="24" s="1"/>
  <c r="R34" i="24"/>
  <c r="R36" i="24"/>
  <c r="R38" i="24"/>
  <c r="R59" i="24"/>
  <c r="R124" i="24"/>
  <c r="R142" i="24"/>
  <c r="E142" i="26" s="1"/>
  <c r="O144" i="24"/>
  <c r="R158" i="24"/>
  <c r="R187" i="24"/>
  <c r="R188" i="24"/>
  <c r="F197" i="24"/>
  <c r="E197" i="28" s="1"/>
  <c r="R214" i="24"/>
  <c r="E214" i="26" s="1"/>
  <c r="R215" i="24"/>
  <c r="E215" i="26" s="1"/>
  <c r="E230" i="26" s="1"/>
  <c r="K137" i="21"/>
  <c r="K138" i="21" s="1"/>
  <c r="R111" i="21"/>
  <c r="F111" i="26" s="1"/>
  <c r="E181" i="21"/>
  <c r="N87" i="25"/>
  <c r="K77" i="24"/>
  <c r="K181" i="24"/>
  <c r="F79" i="24"/>
  <c r="F92" i="24" s="1"/>
  <c r="L81" i="24"/>
  <c r="Q150" i="24"/>
  <c r="F152" i="24"/>
  <c r="E152" i="28" s="1"/>
  <c r="Q165" i="24"/>
  <c r="N157" i="24"/>
  <c r="R157" i="24" s="1"/>
  <c r="E157" i="26" s="1"/>
  <c r="Q174" i="24"/>
  <c r="O174" i="24"/>
  <c r="F176" i="24"/>
  <c r="E176" i="28" s="1"/>
  <c r="P190" i="24"/>
  <c r="P203" i="24"/>
  <c r="R208" i="24"/>
  <c r="E208" i="26" s="1"/>
  <c r="R212" i="24"/>
  <c r="E212" i="26" s="1"/>
  <c r="C117" i="24"/>
  <c r="B156" i="21"/>
  <c r="R31" i="24"/>
  <c r="P66" i="24"/>
  <c r="R51" i="24"/>
  <c r="R53" i="24"/>
  <c r="R61" i="24"/>
  <c r="F9" i="24"/>
  <c r="N10" i="24"/>
  <c r="R10" i="24" s="1"/>
  <c r="O39" i="24"/>
  <c r="Q66" i="24"/>
  <c r="B5" i="24"/>
  <c r="F39" i="24"/>
  <c r="P39" i="24"/>
  <c r="P65" i="24" s="1"/>
  <c r="R37" i="24"/>
  <c r="R54" i="24"/>
  <c r="R60" i="24"/>
  <c r="R62" i="24"/>
  <c r="N80" i="24"/>
  <c r="C95" i="24"/>
  <c r="R141" i="24"/>
  <c r="R143" i="24"/>
  <c r="O147" i="24"/>
  <c r="F148" i="24"/>
  <c r="E148" i="28" s="1"/>
  <c r="O152" i="24"/>
  <c r="O165" i="24" s="1"/>
  <c r="R169" i="24"/>
  <c r="N173" i="24"/>
  <c r="N176" i="24"/>
  <c r="R176" i="24" s="1"/>
  <c r="E176" i="26" s="1"/>
  <c r="P179" i="24"/>
  <c r="R199" i="24"/>
  <c r="R209" i="24"/>
  <c r="E209" i="26" s="1"/>
  <c r="F81" i="24"/>
  <c r="F94" i="24" s="1"/>
  <c r="R148" i="21"/>
  <c r="F148" i="26" s="1"/>
  <c r="P133" i="21"/>
  <c r="R66" i="21"/>
  <c r="H140" i="21"/>
  <c r="J153" i="21"/>
  <c r="P67" i="21"/>
  <c r="I87" i="21"/>
  <c r="L66" i="24"/>
  <c r="L109" i="24"/>
  <c r="H117" i="24"/>
  <c r="P148" i="24"/>
  <c r="P150" i="24" s="1"/>
  <c r="L148" i="24"/>
  <c r="E148" i="27" s="1"/>
  <c r="H89" i="24"/>
  <c r="L198" i="24"/>
  <c r="J153" i="24"/>
  <c r="Q130" i="21"/>
  <c r="L137" i="25"/>
  <c r="L138" i="25" s="1"/>
  <c r="L161" i="25"/>
  <c r="H165" i="25"/>
  <c r="H205" i="25" s="1"/>
  <c r="H218" i="25" s="1"/>
  <c r="H219" i="25" s="1"/>
  <c r="L72" i="25"/>
  <c r="R71" i="25"/>
  <c r="R70" i="25"/>
  <c r="O117" i="21"/>
  <c r="O136" i="24"/>
  <c r="R119" i="24"/>
  <c r="P129" i="24"/>
  <c r="R112" i="24"/>
  <c r="E112" i="26" s="1"/>
  <c r="Q129" i="24"/>
  <c r="R121" i="24"/>
  <c r="E121" i="26" s="1"/>
  <c r="R123" i="24"/>
  <c r="R120" i="24"/>
  <c r="R122" i="24"/>
  <c r="R52" i="24"/>
  <c r="E52" i="26" s="1"/>
  <c r="F16" i="35" s="1"/>
  <c r="J67" i="24"/>
  <c r="J133" i="24" s="1"/>
  <c r="I67" i="24"/>
  <c r="I133" i="24" s="1"/>
  <c r="O133" i="24" s="1"/>
  <c r="L82" i="21"/>
  <c r="P150" i="21"/>
  <c r="R108" i="24"/>
  <c r="E108" i="26" s="1"/>
  <c r="R24" i="24"/>
  <c r="E24" i="26" s="1"/>
  <c r="R23" i="24"/>
  <c r="E23" i="26" s="1"/>
  <c r="J100" i="24"/>
  <c r="J87" i="24"/>
  <c r="R22" i="24"/>
  <c r="E22" i="26" s="1"/>
  <c r="L78" i="24"/>
  <c r="M29" i="24"/>
  <c r="I95" i="21"/>
  <c r="I100" i="21" s="1"/>
  <c r="I82" i="24"/>
  <c r="I87" i="24" s="1"/>
  <c r="N100" i="25"/>
  <c r="F66" i="24"/>
  <c r="B67" i="24"/>
  <c r="B156" i="24" s="1"/>
  <c r="E218" i="25"/>
  <c r="E219" i="25" s="1"/>
  <c r="N137" i="25"/>
  <c r="N138" i="25" s="1"/>
  <c r="G87" i="25"/>
  <c r="F72" i="25"/>
  <c r="Q90" i="25"/>
  <c r="Q100" i="25" s="1"/>
  <c r="Q87" i="25"/>
  <c r="R77" i="25"/>
  <c r="N163" i="25"/>
  <c r="R163" i="25" s="1"/>
  <c r="G163" i="26" s="1"/>
  <c r="F165" i="25"/>
  <c r="N162" i="25"/>
  <c r="R162" i="25" s="1"/>
  <c r="G162" i="26" s="1"/>
  <c r="O218" i="25"/>
  <c r="O219" i="25" s="1"/>
  <c r="R140" i="25"/>
  <c r="N150" i="25"/>
  <c r="P165" i="25"/>
  <c r="R153" i="25"/>
  <c r="G153" i="26" s="1"/>
  <c r="F150" i="25"/>
  <c r="B205" i="25"/>
  <c r="B218" i="25" s="1"/>
  <c r="B219" i="25" s="1"/>
  <c r="R155" i="25"/>
  <c r="G155" i="26" s="1"/>
  <c r="Q190" i="25"/>
  <c r="Q205" i="25" s="1"/>
  <c r="R181" i="25"/>
  <c r="D131" i="21"/>
  <c r="D137" i="21" s="1"/>
  <c r="D138" i="21" s="1"/>
  <c r="C130" i="21"/>
  <c r="O132" i="21" s="1"/>
  <c r="F174" i="21"/>
  <c r="H130" i="21"/>
  <c r="F129" i="21"/>
  <c r="P117" i="21"/>
  <c r="P130" i="21" s="1"/>
  <c r="R82" i="21"/>
  <c r="R80" i="21"/>
  <c r="F136" i="26"/>
  <c r="R65" i="21"/>
  <c r="B131" i="21"/>
  <c r="R174" i="21"/>
  <c r="N92" i="21"/>
  <c r="R79" i="21"/>
  <c r="N67" i="21"/>
  <c r="I131" i="21"/>
  <c r="N94" i="21"/>
  <c r="R81" i="21"/>
  <c r="P132" i="21"/>
  <c r="B163" i="21"/>
  <c r="B162" i="21"/>
  <c r="B161" i="21"/>
  <c r="B100" i="21"/>
  <c r="R114" i="21"/>
  <c r="F114" i="26" s="1"/>
  <c r="Q132" i="21"/>
  <c r="E131" i="21"/>
  <c r="R179" i="21"/>
  <c r="N5" i="21"/>
  <c r="O100" i="21"/>
  <c r="H89" i="21"/>
  <c r="H76" i="21"/>
  <c r="L76" i="21" s="1"/>
  <c r="F76" i="27" s="1"/>
  <c r="L5" i="21"/>
  <c r="H88" i="21"/>
  <c r="O129" i="21"/>
  <c r="L130" i="21"/>
  <c r="L70" i="21" s="1"/>
  <c r="L159" i="21"/>
  <c r="F159" i="27" s="1"/>
  <c r="K181" i="21"/>
  <c r="L145" i="21"/>
  <c r="F145" i="27" s="1"/>
  <c r="H155" i="21"/>
  <c r="L147" i="21"/>
  <c r="F147" i="27" s="1"/>
  <c r="L146" i="21"/>
  <c r="F146" i="27" s="1"/>
  <c r="K77" i="21"/>
  <c r="L19" i="21"/>
  <c r="L144" i="21"/>
  <c r="F144" i="27" s="1"/>
  <c r="L67" i="21"/>
  <c r="F198" i="21"/>
  <c r="F109" i="21"/>
  <c r="F109" i="28" s="1"/>
  <c r="F117" i="28" s="1"/>
  <c r="F130" i="28" s="1"/>
  <c r="N109" i="21"/>
  <c r="R129" i="21"/>
  <c r="B203" i="21"/>
  <c r="R116" i="21"/>
  <c r="F133" i="21"/>
  <c r="F133" i="28" s="1"/>
  <c r="P87" i="21"/>
  <c r="N19" i="21"/>
  <c r="R19" i="21" s="1"/>
  <c r="F19" i="26" s="1"/>
  <c r="G53" i="30" s="1"/>
  <c r="B87" i="21"/>
  <c r="O165" i="21"/>
  <c r="R152" i="21"/>
  <c r="F152" i="26" s="1"/>
  <c r="J131" i="21"/>
  <c r="J137" i="21" s="1"/>
  <c r="J138" i="21" s="1"/>
  <c r="F156" i="21"/>
  <c r="F156" i="28" s="1"/>
  <c r="F136" i="21"/>
  <c r="F65" i="21"/>
  <c r="F67" i="21" s="1"/>
  <c r="O87" i="21"/>
  <c r="P100" i="21"/>
  <c r="H156" i="21"/>
  <c r="L156" i="21" s="1"/>
  <c r="F156" i="27" s="1"/>
  <c r="H133" i="21"/>
  <c r="L133" i="21" s="1"/>
  <c r="F133" i="27" s="1"/>
  <c r="F76" i="21"/>
  <c r="F76" i="28" s="1"/>
  <c r="R78" i="21"/>
  <c r="B155" i="21"/>
  <c r="F19" i="21"/>
  <c r="F19" i="28" s="1"/>
  <c r="F121" i="24"/>
  <c r="E121" i="28" s="1"/>
  <c r="D117" i="24"/>
  <c r="D130" i="24" s="1"/>
  <c r="F112" i="24"/>
  <c r="E112" i="28" s="1"/>
  <c r="L80" i="24"/>
  <c r="C94" i="24"/>
  <c r="C100" i="24" s="1"/>
  <c r="C87" i="24"/>
  <c r="F65" i="24"/>
  <c r="B89" i="24"/>
  <c r="B88" i="24"/>
  <c r="B76" i="24"/>
  <c r="F5" i="24"/>
  <c r="F88" i="24" s="1"/>
  <c r="L65" i="24"/>
  <c r="L146" i="24"/>
  <c r="E146" i="27" s="1"/>
  <c r="L159" i="24"/>
  <c r="E159" i="27" s="1"/>
  <c r="L145" i="24"/>
  <c r="E145" i="27" s="1"/>
  <c r="H155" i="24"/>
  <c r="L144" i="24"/>
  <c r="E144" i="27" s="1"/>
  <c r="L19" i="24"/>
  <c r="L147" i="24"/>
  <c r="E147" i="27" s="1"/>
  <c r="Q67" i="24"/>
  <c r="N93" i="24"/>
  <c r="R80" i="24"/>
  <c r="O67" i="24"/>
  <c r="P78" i="24"/>
  <c r="P91" i="24" s="1"/>
  <c r="K65" i="24"/>
  <c r="K67" i="24" s="1"/>
  <c r="K133" i="24" s="1"/>
  <c r="H76" i="24"/>
  <c r="L76" i="24" s="1"/>
  <c r="E76" i="27" s="1"/>
  <c r="N77" i="24"/>
  <c r="F78" i="24"/>
  <c r="F91" i="24" s="1"/>
  <c r="N81" i="24"/>
  <c r="C150" i="24"/>
  <c r="N184" i="24"/>
  <c r="R184" i="24" s="1"/>
  <c r="F184" i="24"/>
  <c r="Q203" i="24"/>
  <c r="N196" i="24"/>
  <c r="R196" i="24" s="1"/>
  <c r="E196" i="26" s="1"/>
  <c r="N200" i="24"/>
  <c r="R200" i="24" s="1"/>
  <c r="F200" i="24"/>
  <c r="N207" i="24"/>
  <c r="R207" i="24" s="1"/>
  <c r="E207" i="26" s="1"/>
  <c r="E228" i="26" s="1"/>
  <c r="N13" i="24"/>
  <c r="R13" i="24" s="1"/>
  <c r="L26" i="24"/>
  <c r="E26" i="27" s="1"/>
  <c r="O75" i="24"/>
  <c r="O77" i="24"/>
  <c r="O90" i="24" s="1"/>
  <c r="L79" i="24"/>
  <c r="F80" i="24"/>
  <c r="F93" i="24" s="1"/>
  <c r="O81" i="24"/>
  <c r="O94" i="24" s="1"/>
  <c r="N172" i="24"/>
  <c r="R172" i="24" s="1"/>
  <c r="F172" i="24"/>
  <c r="R173" i="24"/>
  <c r="R182" i="24"/>
  <c r="R185" i="24"/>
  <c r="B203" i="24"/>
  <c r="N168" i="24"/>
  <c r="R168" i="24" s="1"/>
  <c r="E168" i="26" s="1"/>
  <c r="F168" i="24"/>
  <c r="E168" i="28" s="1"/>
  <c r="E174" i="28" s="1"/>
  <c r="F8" i="24"/>
  <c r="F12" i="24"/>
  <c r="R29" i="24"/>
  <c r="B117" i="24"/>
  <c r="B130" i="24" s="1"/>
  <c r="N132" i="24" s="1"/>
  <c r="D65" i="24"/>
  <c r="D67" i="24" s="1"/>
  <c r="N79" i="24"/>
  <c r="J131" i="24"/>
  <c r="Q179" i="24"/>
  <c r="R178" i="24"/>
  <c r="E178" i="26" s="1"/>
  <c r="R210" i="24"/>
  <c r="E210" i="26" s="1"/>
  <c r="B93" i="24"/>
  <c r="B19" i="24"/>
  <c r="N8" i="24"/>
  <c r="R8" i="24" s="1"/>
  <c r="G29" i="24"/>
  <c r="E65" i="24"/>
  <c r="E67" i="24" s="1"/>
  <c r="O79" i="24"/>
  <c r="O92" i="24" s="1"/>
  <c r="N82" i="24"/>
  <c r="R86" i="24"/>
  <c r="R99" i="24" s="1"/>
  <c r="D100" i="24"/>
  <c r="Q117" i="24"/>
  <c r="R106" i="24"/>
  <c r="E106" i="26" s="1"/>
  <c r="R110" i="24"/>
  <c r="O114" i="24"/>
  <c r="O117" i="24" s="1"/>
  <c r="N116" i="24"/>
  <c r="R116" i="24" s="1"/>
  <c r="C129" i="24"/>
  <c r="R126" i="24"/>
  <c r="R127" i="24"/>
  <c r="E127" i="26" s="1"/>
  <c r="R154" i="24"/>
  <c r="H174" i="24"/>
  <c r="N177" i="24"/>
  <c r="R177" i="24" s="1"/>
  <c r="E177" i="26" s="1"/>
  <c r="F177" i="24"/>
  <c r="E177" i="28" s="1"/>
  <c r="R193" i="24"/>
  <c r="E193" i="26" s="1"/>
  <c r="R194" i="24"/>
  <c r="E194" i="26" s="1"/>
  <c r="N104" i="24"/>
  <c r="F104" i="24"/>
  <c r="E104" i="28" s="1"/>
  <c r="F127" i="24"/>
  <c r="E127" i="28" s="1"/>
  <c r="O127" i="24"/>
  <c r="N181" i="24"/>
  <c r="B190" i="24"/>
  <c r="L5" i="24"/>
  <c r="O76" i="24"/>
  <c r="P79" i="24"/>
  <c r="P92" i="24" s="1"/>
  <c r="R107" i="24"/>
  <c r="E107" i="26" s="1"/>
  <c r="F114" i="24"/>
  <c r="E114" i="28" s="1"/>
  <c r="K131" i="24"/>
  <c r="R160" i="24"/>
  <c r="R183" i="24"/>
  <c r="R6" i="24"/>
  <c r="H65" i="24"/>
  <c r="H67" i="24" s="1"/>
  <c r="N78" i="24"/>
  <c r="R84" i="24"/>
  <c r="R97" i="24" s="1"/>
  <c r="C130" i="24"/>
  <c r="O132" i="24" s="1"/>
  <c r="B174" i="24"/>
  <c r="R192" i="24"/>
  <c r="E192" i="26" s="1"/>
  <c r="N202" i="24"/>
  <c r="R202" i="24" s="1"/>
  <c r="F202" i="24"/>
  <c r="O78" i="24"/>
  <c r="O91" i="24" s="1"/>
  <c r="R83" i="24"/>
  <c r="R96" i="24" s="1"/>
  <c r="D87" i="24"/>
  <c r="H88" i="24"/>
  <c r="N113" i="24"/>
  <c r="R113" i="24" s="1"/>
  <c r="E113" i="26" s="1"/>
  <c r="F113" i="24"/>
  <c r="E113" i="28" s="1"/>
  <c r="L129" i="24"/>
  <c r="O179" i="24"/>
  <c r="O203" i="24"/>
  <c r="N114" i="24"/>
  <c r="F116" i="24"/>
  <c r="N128" i="24"/>
  <c r="R128" i="24" s="1"/>
  <c r="E129" i="24"/>
  <c r="E130" i="24" s="1"/>
  <c r="Q132" i="24" s="1"/>
  <c r="I165" i="24"/>
  <c r="H179" i="24"/>
  <c r="N195" i="24"/>
  <c r="R195" i="24" s="1"/>
  <c r="E195" i="26" s="1"/>
  <c r="F105" i="24"/>
  <c r="E105" i="28" s="1"/>
  <c r="P111" i="24"/>
  <c r="R111" i="24" s="1"/>
  <c r="E111" i="26" s="1"/>
  <c r="F125" i="24"/>
  <c r="I129" i="24"/>
  <c r="I130" i="24" s="1"/>
  <c r="L152" i="24"/>
  <c r="E152" i="27" s="1"/>
  <c r="L167" i="24"/>
  <c r="L173" i="24"/>
  <c r="L176" i="24"/>
  <c r="L179" i="24" s="1"/>
  <c r="F178" i="24"/>
  <c r="E178" i="28" s="1"/>
  <c r="F106" i="24"/>
  <c r="E106" i="28" s="1"/>
  <c r="F108" i="24"/>
  <c r="E108" i="28" s="1"/>
  <c r="N167" i="24"/>
  <c r="F128" i="24"/>
  <c r="F136" i="24" s="1"/>
  <c r="O125" i="24"/>
  <c r="R125" i="24" s="1"/>
  <c r="E125" i="26" s="1"/>
  <c r="H202" i="22"/>
  <c r="H200" i="22"/>
  <c r="H196" i="22"/>
  <c r="H194" i="22"/>
  <c r="H173" i="22"/>
  <c r="H172" i="22"/>
  <c r="H168" i="22"/>
  <c r="H167" i="22"/>
  <c r="H115" i="22"/>
  <c r="J114" i="22"/>
  <c r="I114" i="22"/>
  <c r="H113" i="22"/>
  <c r="I107" i="22"/>
  <c r="H104" i="22"/>
  <c r="G7" i="35" l="1"/>
  <c r="G99" i="30"/>
  <c r="G78" i="30"/>
  <c r="R63" i="24"/>
  <c r="R66" i="24" s="1"/>
  <c r="E44" i="26"/>
  <c r="F174" i="24"/>
  <c r="E179" i="26"/>
  <c r="E179" i="28"/>
  <c r="R148" i="24"/>
  <c r="E148" i="26" s="1"/>
  <c r="O150" i="24"/>
  <c r="F129" i="24"/>
  <c r="E125" i="28"/>
  <c r="E129" i="28" s="1"/>
  <c r="E129" i="26"/>
  <c r="P205" i="25"/>
  <c r="P218" i="25" s="1"/>
  <c r="P219" i="25" s="1"/>
  <c r="F70" i="28"/>
  <c r="F71" i="28"/>
  <c r="D131" i="24"/>
  <c r="D137" i="24" s="1"/>
  <c r="D138" i="24" s="1"/>
  <c r="P132" i="24"/>
  <c r="R132" i="24" s="1"/>
  <c r="F100" i="24"/>
  <c r="E88" i="28"/>
  <c r="G21" i="29"/>
  <c r="G65" i="29"/>
  <c r="F203" i="21"/>
  <c r="F198" i="28"/>
  <c r="F203" i="28" s="1"/>
  <c r="N75" i="21"/>
  <c r="G23" i="29"/>
  <c r="G67" i="29"/>
  <c r="G25" i="29"/>
  <c r="G69" i="29"/>
  <c r="G19" i="29"/>
  <c r="G63" i="29"/>
  <c r="G24" i="29"/>
  <c r="G68" i="29"/>
  <c r="G64" i="29"/>
  <c r="G20" i="29"/>
  <c r="G62" i="29"/>
  <c r="G18" i="29"/>
  <c r="G17" i="29"/>
  <c r="G61" i="29"/>
  <c r="F100" i="21"/>
  <c r="F88" i="28"/>
  <c r="G96" i="30"/>
  <c r="G106" i="30" s="1"/>
  <c r="P133" i="24"/>
  <c r="P67" i="24"/>
  <c r="F39" i="26"/>
  <c r="F65" i="26" s="1"/>
  <c r="F67" i="26" s="1"/>
  <c r="G11" i="35"/>
  <c r="G19" i="35" s="1"/>
  <c r="L74" i="31"/>
  <c r="F30" i="31"/>
  <c r="L30" i="31" s="1"/>
  <c r="E39" i="27"/>
  <c r="E65" i="27" s="1"/>
  <c r="E67" i="27" s="1"/>
  <c r="F31" i="35"/>
  <c r="F41" i="35" s="1"/>
  <c r="F44" i="35" s="1"/>
  <c r="F35" i="30"/>
  <c r="F45" i="30" s="1"/>
  <c r="K19" i="33"/>
  <c r="M115" i="27"/>
  <c r="M114" i="27"/>
  <c r="G205" i="28"/>
  <c r="G218" i="28" s="1"/>
  <c r="G219" i="28" s="1"/>
  <c r="G70" i="26"/>
  <c r="G71" i="26"/>
  <c r="N110" i="26"/>
  <c r="G22" i="29"/>
  <c r="G66" i="29"/>
  <c r="G74" i="29" s="1"/>
  <c r="G51" i="29"/>
  <c r="M51" i="29" s="1"/>
  <c r="F25" i="29"/>
  <c r="F69" i="29"/>
  <c r="F83" i="30"/>
  <c r="F104" i="30"/>
  <c r="M19" i="26"/>
  <c r="G75" i="30"/>
  <c r="G85" i="30" s="1"/>
  <c r="E63" i="26"/>
  <c r="E66" i="26" s="1"/>
  <c r="F75" i="30"/>
  <c r="L19" i="26"/>
  <c r="F66" i="29"/>
  <c r="F22" i="29"/>
  <c r="F51" i="29"/>
  <c r="L51" i="29" s="1"/>
  <c r="L67" i="24"/>
  <c r="R137" i="25"/>
  <c r="R138" i="25" s="1"/>
  <c r="G132" i="26"/>
  <c r="H49" i="35" s="1"/>
  <c r="H50" i="35" s="1"/>
  <c r="H53" i="35" s="1"/>
  <c r="L165" i="25"/>
  <c r="L205" i="25" s="1"/>
  <c r="L218" i="25" s="1"/>
  <c r="L219" i="25" s="1"/>
  <c r="G161" i="27"/>
  <c r="G165" i="27" s="1"/>
  <c r="G205" i="27" s="1"/>
  <c r="G165" i="26"/>
  <c r="R90" i="25"/>
  <c r="G90" i="26" s="1"/>
  <c r="G77" i="26"/>
  <c r="G87" i="26" s="1"/>
  <c r="R190" i="25"/>
  <c r="G181" i="26"/>
  <c r="R150" i="25"/>
  <c r="G140" i="26"/>
  <c r="R100" i="25"/>
  <c r="G88" i="26"/>
  <c r="G100" i="26" s="1"/>
  <c r="R67" i="21"/>
  <c r="M19" i="21"/>
  <c r="Q25" i="21"/>
  <c r="R25" i="21" s="1"/>
  <c r="F25" i="26" s="1"/>
  <c r="F19" i="27"/>
  <c r="L88" i="21"/>
  <c r="F5" i="27"/>
  <c r="R92" i="21"/>
  <c r="F92" i="26" s="1"/>
  <c r="F79" i="26"/>
  <c r="R94" i="21"/>
  <c r="F94" i="26" s="1"/>
  <c r="F81" i="26"/>
  <c r="R93" i="21"/>
  <c r="F93" i="26" s="1"/>
  <c r="F80" i="26"/>
  <c r="L95" i="21"/>
  <c r="F95" i="27" s="1"/>
  <c r="F82" i="27"/>
  <c r="R91" i="21"/>
  <c r="F91" i="26" s="1"/>
  <c r="F78" i="26"/>
  <c r="R95" i="21"/>
  <c r="F95" i="26" s="1"/>
  <c r="F82" i="26"/>
  <c r="L93" i="24"/>
  <c r="E93" i="27" s="1"/>
  <c r="E80" i="27"/>
  <c r="L94" i="24"/>
  <c r="E94" i="27" s="1"/>
  <c r="E81" i="27"/>
  <c r="L92" i="24"/>
  <c r="E92" i="27" s="1"/>
  <c r="E79" i="27"/>
  <c r="R93" i="24"/>
  <c r="E93" i="26" s="1"/>
  <c r="E80" i="26"/>
  <c r="L91" i="24"/>
  <c r="E91" i="27" s="1"/>
  <c r="E78" i="27"/>
  <c r="L117" i="24"/>
  <c r="L130" i="24" s="1"/>
  <c r="L71" i="24" s="1"/>
  <c r="E109" i="27"/>
  <c r="K109" i="27" s="1"/>
  <c r="R39" i="24"/>
  <c r="E29" i="26"/>
  <c r="L203" i="24"/>
  <c r="E198" i="27"/>
  <c r="E203" i="27" s="1"/>
  <c r="L88" i="24"/>
  <c r="E5" i="27"/>
  <c r="M19" i="24"/>
  <c r="E19" i="27"/>
  <c r="G72" i="27"/>
  <c r="N156" i="21"/>
  <c r="R156" i="21" s="1"/>
  <c r="F156" i="26" s="1"/>
  <c r="Q133" i="24"/>
  <c r="F179" i="24"/>
  <c r="R152" i="24"/>
  <c r="E152" i="26" s="1"/>
  <c r="R179" i="24"/>
  <c r="K137" i="24"/>
  <c r="K138" i="24" s="1"/>
  <c r="F67" i="24"/>
  <c r="N179" i="24"/>
  <c r="Q130" i="24"/>
  <c r="R87" i="25"/>
  <c r="R72" i="25" s="1"/>
  <c r="O130" i="21"/>
  <c r="H131" i="21"/>
  <c r="N131" i="21" s="1"/>
  <c r="J137" i="24"/>
  <c r="J138" i="24" s="1"/>
  <c r="F205" i="25"/>
  <c r="F69" i="25" s="1"/>
  <c r="Q218" i="25"/>
  <c r="Q219" i="25" s="1"/>
  <c r="R165" i="25"/>
  <c r="N165" i="25"/>
  <c r="N205" i="25" s="1"/>
  <c r="N218" i="25" s="1"/>
  <c r="N219" i="25" s="1"/>
  <c r="C131" i="21"/>
  <c r="C137" i="21" s="1"/>
  <c r="C138" i="21" s="1"/>
  <c r="C205" i="21" s="1"/>
  <c r="C218" i="21" s="1"/>
  <c r="C219" i="21" s="1"/>
  <c r="R198" i="21"/>
  <c r="N203" i="21"/>
  <c r="H161" i="21"/>
  <c r="L161" i="21" s="1"/>
  <c r="F161" i="27" s="1"/>
  <c r="H100" i="21"/>
  <c r="H162" i="21"/>
  <c r="L162" i="21" s="1"/>
  <c r="F162" i="27" s="1"/>
  <c r="H163" i="21"/>
  <c r="L163" i="21" s="1"/>
  <c r="F163" i="27" s="1"/>
  <c r="N155" i="21"/>
  <c r="B165" i="21"/>
  <c r="F155" i="21"/>
  <c r="F155" i="28" s="1"/>
  <c r="L71" i="21"/>
  <c r="F163" i="21"/>
  <c r="F163" i="28" s="1"/>
  <c r="F145" i="21"/>
  <c r="F145" i="28" s="1"/>
  <c r="N145" i="21"/>
  <c r="R145" i="21" s="1"/>
  <c r="F145" i="26" s="1"/>
  <c r="Q181" i="21"/>
  <c r="E190" i="21"/>
  <c r="F181" i="21"/>
  <c r="R75" i="21"/>
  <c r="F75" i="26" s="1"/>
  <c r="F117" i="21"/>
  <c r="F130" i="21" s="1"/>
  <c r="F70" i="21" s="1"/>
  <c r="L140" i="21"/>
  <c r="H150" i="21"/>
  <c r="N144" i="21"/>
  <c r="R144" i="21" s="1"/>
  <c r="F144" i="26" s="1"/>
  <c r="F144" i="21"/>
  <c r="F144" i="28" s="1"/>
  <c r="L153" i="21"/>
  <c r="F153" i="27" s="1"/>
  <c r="J165" i="21"/>
  <c r="J205" i="21" s="1"/>
  <c r="J218" i="21" s="1"/>
  <c r="J219" i="21" s="1"/>
  <c r="N89" i="21"/>
  <c r="R5" i="21"/>
  <c r="N88" i="21"/>
  <c r="L131" i="21"/>
  <c r="F131" i="27" s="1"/>
  <c r="E90" i="21"/>
  <c r="E100" i="21" s="1"/>
  <c r="E87" i="21"/>
  <c r="F77" i="21"/>
  <c r="Q77" i="21"/>
  <c r="L132" i="21"/>
  <c r="F132" i="27" s="1"/>
  <c r="L155" i="21"/>
  <c r="F155" i="27" s="1"/>
  <c r="F162" i="21"/>
  <c r="F162" i="28" s="1"/>
  <c r="R109" i="21"/>
  <c r="F109" i="26" s="1"/>
  <c r="F117" i="26" s="1"/>
  <c r="F130" i="26" s="1"/>
  <c r="N117" i="21"/>
  <c r="N130" i="21" s="1"/>
  <c r="F146" i="21"/>
  <c r="F146" i="28" s="1"/>
  <c r="N146" i="21"/>
  <c r="R146" i="21" s="1"/>
  <c r="F146" i="26" s="1"/>
  <c r="L198" i="21"/>
  <c r="H203" i="21"/>
  <c r="Q131" i="21"/>
  <c r="Q137" i="21" s="1"/>
  <c r="Q138" i="21" s="1"/>
  <c r="E137" i="21"/>
  <c r="E138" i="21" s="1"/>
  <c r="N147" i="21"/>
  <c r="R147" i="21" s="1"/>
  <c r="F147" i="26" s="1"/>
  <c r="F147" i="21"/>
  <c r="F147" i="28" s="1"/>
  <c r="P131" i="21"/>
  <c r="I137" i="21"/>
  <c r="I138" i="21" s="1"/>
  <c r="I205" i="21" s="1"/>
  <c r="I218" i="21" s="1"/>
  <c r="I219" i="21" s="1"/>
  <c r="N132" i="21"/>
  <c r="R132" i="21" s="1"/>
  <c r="F132" i="21"/>
  <c r="F132" i="28" s="1"/>
  <c r="D165" i="21"/>
  <c r="D205" i="21" s="1"/>
  <c r="D218" i="21" s="1"/>
  <c r="D219" i="21" s="1"/>
  <c r="F153" i="21"/>
  <c r="F153" i="28" s="1"/>
  <c r="P153" i="21"/>
  <c r="K87" i="21"/>
  <c r="K90" i="21"/>
  <c r="K100" i="21" s="1"/>
  <c r="L77" i="21"/>
  <c r="F159" i="21"/>
  <c r="F159" i="28" s="1"/>
  <c r="N159" i="21"/>
  <c r="R159" i="21" s="1"/>
  <c r="F159" i="26" s="1"/>
  <c r="N140" i="21"/>
  <c r="F140" i="21"/>
  <c r="F140" i="28" s="1"/>
  <c r="B150" i="21"/>
  <c r="N76" i="21"/>
  <c r="R76" i="21" s="1"/>
  <c r="F76" i="26" s="1"/>
  <c r="N133" i="21"/>
  <c r="K190" i="21"/>
  <c r="K205" i="21" s="1"/>
  <c r="L181" i="21"/>
  <c r="H87" i="21"/>
  <c r="L75" i="21"/>
  <c r="F75" i="27" s="1"/>
  <c r="F161" i="21"/>
  <c r="F161" i="28" s="1"/>
  <c r="B137" i="21"/>
  <c r="B138" i="21" s="1"/>
  <c r="R129" i="24"/>
  <c r="P100" i="24"/>
  <c r="B131" i="24"/>
  <c r="I131" i="24"/>
  <c r="H87" i="24"/>
  <c r="L75" i="24"/>
  <c r="E75" i="27" s="1"/>
  <c r="N198" i="24"/>
  <c r="F198" i="24"/>
  <c r="N190" i="24"/>
  <c r="H203" i="24"/>
  <c r="F76" i="24"/>
  <c r="E76" i="28" s="1"/>
  <c r="N76" i="24"/>
  <c r="R76" i="24" s="1"/>
  <c r="E76" i="26" s="1"/>
  <c r="H162" i="24"/>
  <c r="L162" i="24" s="1"/>
  <c r="E162" i="27" s="1"/>
  <c r="H161" i="24"/>
  <c r="L161" i="24" s="1"/>
  <c r="E161" i="27" s="1"/>
  <c r="H100" i="24"/>
  <c r="H163" i="24"/>
  <c r="L163" i="24" s="1"/>
  <c r="E163" i="27" s="1"/>
  <c r="R114" i="24"/>
  <c r="E114" i="26" s="1"/>
  <c r="N129" i="24"/>
  <c r="N92" i="24"/>
  <c r="R79" i="24"/>
  <c r="O129" i="24"/>
  <c r="O130" i="24" s="1"/>
  <c r="P131" i="24"/>
  <c r="K87" i="24"/>
  <c r="K90" i="24"/>
  <c r="K100" i="24" s="1"/>
  <c r="L77" i="24"/>
  <c r="B163" i="24"/>
  <c r="B162" i="24"/>
  <c r="B161" i="24"/>
  <c r="B100" i="24"/>
  <c r="N174" i="24"/>
  <c r="R167" i="24"/>
  <c r="C131" i="24"/>
  <c r="P117" i="24"/>
  <c r="P130" i="24" s="1"/>
  <c r="K190" i="24"/>
  <c r="L181" i="24"/>
  <c r="L174" i="24"/>
  <c r="N91" i="24"/>
  <c r="R78" i="24"/>
  <c r="E181" i="24"/>
  <c r="B155" i="24"/>
  <c r="F19" i="24"/>
  <c r="H130" i="24"/>
  <c r="N95" i="24"/>
  <c r="F109" i="24"/>
  <c r="N109" i="24"/>
  <c r="R109" i="24" s="1"/>
  <c r="E109" i="26" s="1"/>
  <c r="N94" i="24"/>
  <c r="R81" i="24"/>
  <c r="N19" i="24"/>
  <c r="R19" i="24" s="1"/>
  <c r="E19" i="26" s="1"/>
  <c r="F53" i="30" s="1"/>
  <c r="L140" i="24"/>
  <c r="H150" i="24"/>
  <c r="F133" i="24"/>
  <c r="E133" i="28" s="1"/>
  <c r="P87" i="24"/>
  <c r="E131" i="24"/>
  <c r="H133" i="24"/>
  <c r="L133" i="24" s="1"/>
  <c r="E133" i="27" s="1"/>
  <c r="H156" i="24"/>
  <c r="L156" i="24" s="1"/>
  <c r="E156" i="27" s="1"/>
  <c r="N136" i="24"/>
  <c r="R136" i="24" s="1"/>
  <c r="L153" i="24"/>
  <c r="E153" i="27" s="1"/>
  <c r="J165" i="24"/>
  <c r="F156" i="24"/>
  <c r="E156" i="28" s="1"/>
  <c r="R104" i="24"/>
  <c r="E104" i="26" s="1"/>
  <c r="R65" i="24"/>
  <c r="N90" i="24"/>
  <c r="L155" i="24"/>
  <c r="E155" i="27" s="1"/>
  <c r="I95" i="24"/>
  <c r="I100" i="24" s="1"/>
  <c r="O82" i="24"/>
  <c r="O95" i="24" s="1"/>
  <c r="O100" i="24" s="1"/>
  <c r="L82" i="24"/>
  <c r="N5" i="24"/>
  <c r="B87" i="24"/>
  <c r="F75" i="24"/>
  <c r="E75" i="28" s="1"/>
  <c r="N75" i="24"/>
  <c r="I82" i="22"/>
  <c r="I95" i="22" s="1"/>
  <c r="I81" i="22"/>
  <c r="I80" i="22"/>
  <c r="I93" i="22" s="1"/>
  <c r="N105" i="22"/>
  <c r="C82" i="22"/>
  <c r="C95" i="22" s="1"/>
  <c r="C81" i="22"/>
  <c r="C80" i="22"/>
  <c r="B202" i="22"/>
  <c r="B200" i="22"/>
  <c r="N200" i="22" s="1"/>
  <c r="R200" i="22" s="1"/>
  <c r="F194" i="22"/>
  <c r="D194" i="28" s="1"/>
  <c r="F192" i="22"/>
  <c r="D192" i="28" s="1"/>
  <c r="H178" i="22"/>
  <c r="L178" i="22" s="1"/>
  <c r="H177" i="22"/>
  <c r="H176" i="22"/>
  <c r="N177" i="22"/>
  <c r="F176" i="22"/>
  <c r="D176" i="28" s="1"/>
  <c r="B173" i="22"/>
  <c r="B172" i="22"/>
  <c r="N168" i="22"/>
  <c r="F152" i="22"/>
  <c r="D152" i="28" s="1"/>
  <c r="Q127" i="22"/>
  <c r="F121" i="22"/>
  <c r="D121" i="28" s="1"/>
  <c r="F113" i="22"/>
  <c r="D113" i="28" s="1"/>
  <c r="P111" i="22"/>
  <c r="F108" i="22"/>
  <c r="D108" i="28" s="1"/>
  <c r="F104" i="22"/>
  <c r="D104" i="28" s="1"/>
  <c r="B14" i="22"/>
  <c r="R221" i="22"/>
  <c r="Q221" i="22"/>
  <c r="P221" i="22"/>
  <c r="O221" i="22"/>
  <c r="N221" i="22"/>
  <c r="L221" i="22"/>
  <c r="K221" i="22"/>
  <c r="J221" i="22"/>
  <c r="I221" i="22"/>
  <c r="H221" i="22"/>
  <c r="F221" i="22"/>
  <c r="E221" i="22"/>
  <c r="D221" i="22"/>
  <c r="C221" i="22"/>
  <c r="B221" i="22"/>
  <c r="A221" i="22"/>
  <c r="Q217" i="22"/>
  <c r="P217" i="22"/>
  <c r="O217" i="22"/>
  <c r="N217" i="22"/>
  <c r="Q216" i="22"/>
  <c r="P216" i="22"/>
  <c r="O216" i="22"/>
  <c r="R216" i="22" s="1"/>
  <c r="N216" i="22"/>
  <c r="L216" i="22"/>
  <c r="F216" i="22"/>
  <c r="Q215" i="22"/>
  <c r="P215" i="22"/>
  <c r="O215" i="22"/>
  <c r="N215" i="22"/>
  <c r="L215" i="22"/>
  <c r="F215" i="22"/>
  <c r="Q214" i="22"/>
  <c r="P214" i="22"/>
  <c r="O214" i="22"/>
  <c r="N214" i="22"/>
  <c r="R214" i="22" s="1"/>
  <c r="D214" i="26" s="1"/>
  <c r="L214" i="22"/>
  <c r="F214" i="22"/>
  <c r="Q213" i="22"/>
  <c r="P213" i="22"/>
  <c r="O213" i="22"/>
  <c r="N213" i="22"/>
  <c r="L213" i="22"/>
  <c r="D213" i="27" s="1"/>
  <c r="F213" i="22"/>
  <c r="D213" i="28" s="1"/>
  <c r="Q212" i="22"/>
  <c r="P212" i="22"/>
  <c r="O212" i="22"/>
  <c r="N212" i="22"/>
  <c r="L212" i="22"/>
  <c r="D212" i="27" s="1"/>
  <c r="F212" i="22"/>
  <c r="D212" i="28" s="1"/>
  <c r="Q211" i="22"/>
  <c r="P211" i="22"/>
  <c r="O211" i="22"/>
  <c r="N211" i="22"/>
  <c r="L211" i="22"/>
  <c r="D211" i="27" s="1"/>
  <c r="F211" i="22"/>
  <c r="D211" i="28" s="1"/>
  <c r="Q210" i="22"/>
  <c r="P210" i="22"/>
  <c r="O210" i="22"/>
  <c r="N210" i="22"/>
  <c r="L210" i="22"/>
  <c r="D210" i="27" s="1"/>
  <c r="F210" i="22"/>
  <c r="D210" i="28" s="1"/>
  <c r="Q209" i="22"/>
  <c r="P209" i="22"/>
  <c r="O209" i="22"/>
  <c r="N209" i="22"/>
  <c r="L209" i="22"/>
  <c r="D209" i="27" s="1"/>
  <c r="D229" i="27" s="1"/>
  <c r="F209" i="22"/>
  <c r="D209" i="28" s="1"/>
  <c r="Q208" i="22"/>
  <c r="P208" i="22"/>
  <c r="O208" i="22"/>
  <c r="N208" i="22"/>
  <c r="L208" i="22"/>
  <c r="F208" i="22"/>
  <c r="D208" i="28" s="1"/>
  <c r="Q207" i="22"/>
  <c r="P207" i="22"/>
  <c r="O207" i="22"/>
  <c r="N207" i="22"/>
  <c r="L207" i="22"/>
  <c r="D207" i="27" s="1"/>
  <c r="D228" i="27" s="1"/>
  <c r="D231" i="27" s="1"/>
  <c r="F207" i="22"/>
  <c r="D207" i="28" s="1"/>
  <c r="K203" i="22"/>
  <c r="J203" i="22"/>
  <c r="I203" i="22"/>
  <c r="E203" i="22"/>
  <c r="D203" i="22"/>
  <c r="C203" i="22"/>
  <c r="Q202" i="22"/>
  <c r="P202" i="22"/>
  <c r="O202" i="22"/>
  <c r="L202" i="22"/>
  <c r="F202" i="22"/>
  <c r="N202" i="22"/>
  <c r="R201" i="22"/>
  <c r="Q201" i="22"/>
  <c r="P201" i="22"/>
  <c r="O201" i="22"/>
  <c r="N201" i="22"/>
  <c r="L201" i="22"/>
  <c r="F201" i="22"/>
  <c r="Q200" i="22"/>
  <c r="P200" i="22"/>
  <c r="O200" i="22"/>
  <c r="L200" i="22"/>
  <c r="F200" i="22"/>
  <c r="Q199" i="22"/>
  <c r="P199" i="22"/>
  <c r="O199" i="22"/>
  <c r="N199" i="22"/>
  <c r="R199" i="22" s="1"/>
  <c r="L199" i="22"/>
  <c r="F199" i="22"/>
  <c r="Q198" i="22"/>
  <c r="P198" i="22"/>
  <c r="O198" i="22"/>
  <c r="Q197" i="22"/>
  <c r="P197" i="22"/>
  <c r="O197" i="22"/>
  <c r="L197" i="22"/>
  <c r="Q196" i="22"/>
  <c r="P196" i="22"/>
  <c r="O196" i="22"/>
  <c r="N196" i="22"/>
  <c r="L196" i="22"/>
  <c r="F196" i="22"/>
  <c r="D196" i="28" s="1"/>
  <c r="Q195" i="22"/>
  <c r="P195" i="22"/>
  <c r="O195" i="22"/>
  <c r="F195" i="22"/>
  <c r="D195" i="28" s="1"/>
  <c r="Q194" i="22"/>
  <c r="P194" i="22"/>
  <c r="O194" i="22"/>
  <c r="L194" i="22"/>
  <c r="N194" i="22"/>
  <c r="R194" i="22" s="1"/>
  <c r="D194" i="26" s="1"/>
  <c r="Q193" i="22"/>
  <c r="P193" i="22"/>
  <c r="O193" i="22"/>
  <c r="N193" i="22"/>
  <c r="L193" i="22"/>
  <c r="F193" i="22"/>
  <c r="D193" i="28" s="1"/>
  <c r="Q192" i="22"/>
  <c r="Q203" i="22" s="1"/>
  <c r="P192" i="22"/>
  <c r="O192" i="22"/>
  <c r="L192" i="22"/>
  <c r="N191" i="22"/>
  <c r="J190" i="22"/>
  <c r="I190" i="22"/>
  <c r="D190" i="22"/>
  <c r="C190" i="22"/>
  <c r="Q189" i="22"/>
  <c r="P189" i="22"/>
  <c r="O189" i="22"/>
  <c r="N189" i="22"/>
  <c r="L189" i="22"/>
  <c r="F189" i="22"/>
  <c r="Q188" i="22"/>
  <c r="P188" i="22"/>
  <c r="O188" i="22"/>
  <c r="N188" i="22"/>
  <c r="L188" i="22"/>
  <c r="F188" i="22"/>
  <c r="Q187" i="22"/>
  <c r="P187" i="22"/>
  <c r="O187" i="22"/>
  <c r="N187" i="22"/>
  <c r="R187" i="22" s="1"/>
  <c r="L187" i="22"/>
  <c r="F187" i="22"/>
  <c r="Q186" i="22"/>
  <c r="P186" i="22"/>
  <c r="O186" i="22"/>
  <c r="N186" i="22"/>
  <c r="R186" i="22" s="1"/>
  <c r="L186" i="22"/>
  <c r="F186" i="22"/>
  <c r="Q185" i="22"/>
  <c r="P185" i="22"/>
  <c r="O185" i="22"/>
  <c r="N185" i="22"/>
  <c r="L185" i="22"/>
  <c r="F185" i="22"/>
  <c r="Q184" i="22"/>
  <c r="P184" i="22"/>
  <c r="O184" i="22"/>
  <c r="H184" i="22"/>
  <c r="L184" i="22" s="1"/>
  <c r="B184" i="22"/>
  <c r="Q183" i="22"/>
  <c r="P183" i="22"/>
  <c r="O183" i="22"/>
  <c r="N183" i="22"/>
  <c r="L183" i="22"/>
  <c r="F183" i="22"/>
  <c r="Q182" i="22"/>
  <c r="P182" i="22"/>
  <c r="O182" i="22"/>
  <c r="N182" i="22"/>
  <c r="L182" i="22"/>
  <c r="F182" i="22"/>
  <c r="P181" i="22"/>
  <c r="O181" i="22"/>
  <c r="N181" i="22"/>
  <c r="B181" i="22"/>
  <c r="B190" i="22" s="1"/>
  <c r="R180" i="22"/>
  <c r="R191" i="22" s="1"/>
  <c r="Q180" i="22"/>
  <c r="Q191" i="22" s="1"/>
  <c r="P180" i="22"/>
  <c r="P191" i="22" s="1"/>
  <c r="O180" i="22"/>
  <c r="O191" i="22" s="1"/>
  <c r="N180" i="22"/>
  <c r="L180" i="22"/>
  <c r="L191" i="22" s="1"/>
  <c r="K180" i="22"/>
  <c r="K191" i="22" s="1"/>
  <c r="J180" i="22"/>
  <c r="J191" i="22" s="1"/>
  <c r="I180" i="22"/>
  <c r="I191" i="22" s="1"/>
  <c r="H180" i="22"/>
  <c r="H191" i="22" s="1"/>
  <c r="F180" i="22"/>
  <c r="F191" i="22" s="1"/>
  <c r="E180" i="22"/>
  <c r="E191" i="22" s="1"/>
  <c r="D180" i="22"/>
  <c r="D191" i="22" s="1"/>
  <c r="C180" i="22"/>
  <c r="C191" i="22" s="1"/>
  <c r="B180" i="22"/>
  <c r="B191" i="22" s="1"/>
  <c r="K179" i="22"/>
  <c r="J179" i="22"/>
  <c r="I179" i="22"/>
  <c r="E179" i="22"/>
  <c r="D179" i="22"/>
  <c r="C179" i="22"/>
  <c r="Q178" i="22"/>
  <c r="P178" i="22"/>
  <c r="O178" i="22"/>
  <c r="F178" i="22"/>
  <c r="D178" i="28" s="1"/>
  <c r="Q177" i="22"/>
  <c r="P177" i="22"/>
  <c r="O177" i="22"/>
  <c r="L177" i="22"/>
  <c r="Q176" i="22"/>
  <c r="Q179" i="22" s="1"/>
  <c r="P176" i="22"/>
  <c r="O176" i="22"/>
  <c r="L176" i="22"/>
  <c r="H179" i="22"/>
  <c r="K174" i="22"/>
  <c r="J174" i="22"/>
  <c r="I174" i="22"/>
  <c r="H174" i="22"/>
  <c r="E174" i="22"/>
  <c r="D174" i="22"/>
  <c r="C174" i="22"/>
  <c r="Q173" i="22"/>
  <c r="P173" i="22"/>
  <c r="O173" i="22"/>
  <c r="L173" i="22"/>
  <c r="F173" i="22"/>
  <c r="N173" i="22"/>
  <c r="Q172" i="22"/>
  <c r="P172" i="22"/>
  <c r="O172" i="22"/>
  <c r="L172" i="22"/>
  <c r="F172" i="22"/>
  <c r="N172" i="22"/>
  <c r="Q171" i="22"/>
  <c r="P171" i="22"/>
  <c r="O171" i="22"/>
  <c r="N171" i="22"/>
  <c r="R171" i="22" s="1"/>
  <c r="L171" i="22"/>
  <c r="F171" i="22"/>
  <c r="Q170" i="22"/>
  <c r="P170" i="22"/>
  <c r="O170" i="22"/>
  <c r="N170" i="22"/>
  <c r="L170" i="22"/>
  <c r="F170" i="22"/>
  <c r="D170" i="28" s="1"/>
  <c r="Q169" i="22"/>
  <c r="P169" i="22"/>
  <c r="O169" i="22"/>
  <c r="N169" i="22"/>
  <c r="L169" i="22"/>
  <c r="F169" i="22"/>
  <c r="Q168" i="22"/>
  <c r="P168" i="22"/>
  <c r="O168" i="22"/>
  <c r="L168" i="22"/>
  <c r="Q167" i="22"/>
  <c r="Q174" i="22" s="1"/>
  <c r="P167" i="22"/>
  <c r="O167" i="22"/>
  <c r="L167" i="22"/>
  <c r="F167" i="22"/>
  <c r="D167" i="28" s="1"/>
  <c r="N167" i="22"/>
  <c r="H166" i="22"/>
  <c r="K165" i="22"/>
  <c r="I165" i="22"/>
  <c r="E165" i="22"/>
  <c r="Q164" i="22"/>
  <c r="P164" i="22"/>
  <c r="O164" i="22"/>
  <c r="N164" i="22"/>
  <c r="Q163" i="22"/>
  <c r="P163" i="22"/>
  <c r="O163" i="22"/>
  <c r="Q162" i="22"/>
  <c r="P162" i="22"/>
  <c r="O162" i="22"/>
  <c r="Q161" i="22"/>
  <c r="P161" i="22"/>
  <c r="O161" i="22"/>
  <c r="Q160" i="22"/>
  <c r="P160" i="22"/>
  <c r="O160" i="22"/>
  <c r="N160" i="22"/>
  <c r="L160" i="22"/>
  <c r="F160" i="22"/>
  <c r="Q159" i="22"/>
  <c r="P159" i="22"/>
  <c r="O159" i="22"/>
  <c r="Q158" i="22"/>
  <c r="P158" i="22"/>
  <c r="O158" i="22"/>
  <c r="N158" i="22"/>
  <c r="R158" i="22" s="1"/>
  <c r="L158" i="22"/>
  <c r="F158" i="22"/>
  <c r="Q157" i="22"/>
  <c r="P157" i="22"/>
  <c r="O157" i="22"/>
  <c r="L157" i="22"/>
  <c r="D157" i="27" s="1"/>
  <c r="F157" i="22"/>
  <c r="D157" i="28" s="1"/>
  <c r="Q156" i="22"/>
  <c r="P156" i="22"/>
  <c r="O156" i="22"/>
  <c r="Q155" i="22"/>
  <c r="P155" i="22"/>
  <c r="O155" i="22"/>
  <c r="Q154" i="22"/>
  <c r="P154" i="22"/>
  <c r="O154" i="22"/>
  <c r="R154" i="22" s="1"/>
  <c r="N154" i="22"/>
  <c r="L154" i="22"/>
  <c r="F154" i="22"/>
  <c r="Q153" i="22"/>
  <c r="O153" i="22"/>
  <c r="N153" i="22"/>
  <c r="Q152" i="22"/>
  <c r="P152" i="22"/>
  <c r="O152" i="22"/>
  <c r="N152" i="22"/>
  <c r="L152" i="22"/>
  <c r="D152" i="27" s="1"/>
  <c r="R151" i="22"/>
  <c r="R166" i="22" s="1"/>
  <c r="Q151" i="22"/>
  <c r="Q166" i="22" s="1"/>
  <c r="P151" i="22"/>
  <c r="P166" i="22" s="1"/>
  <c r="O151" i="22"/>
  <c r="O166" i="22" s="1"/>
  <c r="N151" i="22"/>
  <c r="N166" i="22" s="1"/>
  <c r="L151" i="22"/>
  <c r="L166" i="22" s="1"/>
  <c r="K151" i="22"/>
  <c r="K166" i="22" s="1"/>
  <c r="J151" i="22"/>
  <c r="J166" i="22" s="1"/>
  <c r="I151" i="22"/>
  <c r="I166" i="22" s="1"/>
  <c r="H151" i="22"/>
  <c r="F151" i="22"/>
  <c r="F166" i="22" s="1"/>
  <c r="E151" i="22"/>
  <c r="E166" i="22" s="1"/>
  <c r="D151" i="22"/>
  <c r="D166" i="22" s="1"/>
  <c r="C151" i="22"/>
  <c r="C166" i="22" s="1"/>
  <c r="B151" i="22"/>
  <c r="B166" i="22" s="1"/>
  <c r="K150" i="22"/>
  <c r="E150" i="22"/>
  <c r="Q149" i="22"/>
  <c r="P149" i="22"/>
  <c r="O149" i="22"/>
  <c r="N149" i="22"/>
  <c r="Q148" i="22"/>
  <c r="J150" i="22"/>
  <c r="N148" i="22"/>
  <c r="Q147" i="22"/>
  <c r="P147" i="22"/>
  <c r="O147" i="22"/>
  <c r="Q146" i="22"/>
  <c r="P146" i="22"/>
  <c r="Q145" i="22"/>
  <c r="P145" i="22"/>
  <c r="O145" i="22"/>
  <c r="Q144" i="22"/>
  <c r="P144" i="22"/>
  <c r="C150" i="22"/>
  <c r="Q143" i="22"/>
  <c r="P143" i="22"/>
  <c r="O143" i="22"/>
  <c r="N143" i="22"/>
  <c r="L143" i="22"/>
  <c r="F143" i="22"/>
  <c r="Q142" i="22"/>
  <c r="P142" i="22"/>
  <c r="O142" i="22"/>
  <c r="N142" i="22"/>
  <c r="L142" i="22"/>
  <c r="D142" i="27" s="1"/>
  <c r="F142" i="22"/>
  <c r="D142" i="28" s="1"/>
  <c r="Q141" i="22"/>
  <c r="P141" i="22"/>
  <c r="O141" i="22"/>
  <c r="N141" i="22"/>
  <c r="R141" i="22" s="1"/>
  <c r="L141" i="22"/>
  <c r="F141" i="22"/>
  <c r="Q140" i="22"/>
  <c r="Q150" i="22" s="1"/>
  <c r="P140" i="22"/>
  <c r="O140" i="22"/>
  <c r="R139" i="22"/>
  <c r="Q139" i="22"/>
  <c r="P139" i="22"/>
  <c r="O139" i="22"/>
  <c r="N139" i="22"/>
  <c r="L139" i="22"/>
  <c r="K139" i="22"/>
  <c r="J139" i="22"/>
  <c r="I139" i="22"/>
  <c r="H139" i="22"/>
  <c r="F139" i="22"/>
  <c r="E139" i="22"/>
  <c r="D139" i="22"/>
  <c r="C139" i="22"/>
  <c r="B139" i="22"/>
  <c r="L135" i="22"/>
  <c r="H135" i="22"/>
  <c r="F135" i="22"/>
  <c r="B135" i="22"/>
  <c r="N135" i="22" s="1"/>
  <c r="Q134" i="22"/>
  <c r="P134" i="22"/>
  <c r="O134" i="22"/>
  <c r="N134" i="22"/>
  <c r="R134" i="22" s="1"/>
  <c r="D134" i="26" s="1"/>
  <c r="J129" i="22"/>
  <c r="Q128" i="22"/>
  <c r="P128" i="22"/>
  <c r="O128" i="22"/>
  <c r="H128" i="22"/>
  <c r="H129" i="22" s="1"/>
  <c r="B128" i="22"/>
  <c r="N128" i="22" s="1"/>
  <c r="P127" i="22"/>
  <c r="N127" i="22"/>
  <c r="K129" i="22"/>
  <c r="I127" i="22"/>
  <c r="L127" i="22" s="1"/>
  <c r="C127" i="22"/>
  <c r="Q126" i="22"/>
  <c r="P126" i="22"/>
  <c r="O126" i="22"/>
  <c r="N126" i="22"/>
  <c r="L126" i="22"/>
  <c r="F126" i="22"/>
  <c r="Q125" i="22"/>
  <c r="P125" i="22"/>
  <c r="N125" i="22"/>
  <c r="L125" i="22"/>
  <c r="F125" i="22"/>
  <c r="D125" i="28" s="1"/>
  <c r="Q124" i="22"/>
  <c r="P124" i="22"/>
  <c r="O124" i="22"/>
  <c r="N124" i="22"/>
  <c r="L124" i="22"/>
  <c r="F124" i="22"/>
  <c r="Q123" i="22"/>
  <c r="P123" i="22"/>
  <c r="O123" i="22"/>
  <c r="N123" i="22"/>
  <c r="R123" i="22" s="1"/>
  <c r="L123" i="22"/>
  <c r="F123" i="22"/>
  <c r="Q122" i="22"/>
  <c r="P122" i="22"/>
  <c r="O122" i="22"/>
  <c r="N122" i="22"/>
  <c r="R122" i="22" s="1"/>
  <c r="L122" i="22"/>
  <c r="F122" i="22"/>
  <c r="Q121" i="22"/>
  <c r="P121" i="22"/>
  <c r="O121" i="22"/>
  <c r="N121" i="22"/>
  <c r="L121" i="22"/>
  <c r="Q120" i="22"/>
  <c r="P120" i="22"/>
  <c r="O120" i="22"/>
  <c r="N120" i="22"/>
  <c r="L120" i="22"/>
  <c r="F120" i="22"/>
  <c r="Q119" i="22"/>
  <c r="P119" i="22"/>
  <c r="O119" i="22"/>
  <c r="N119" i="22"/>
  <c r="N129" i="22" s="1"/>
  <c r="L119" i="22"/>
  <c r="F119" i="22"/>
  <c r="R118" i="22"/>
  <c r="Q118" i="22"/>
  <c r="P118" i="22"/>
  <c r="O118" i="22"/>
  <c r="N118" i="22"/>
  <c r="L118" i="22"/>
  <c r="K118" i="22"/>
  <c r="J118" i="22"/>
  <c r="I118" i="22"/>
  <c r="H118" i="22"/>
  <c r="F118" i="22"/>
  <c r="E118" i="22"/>
  <c r="D118" i="22"/>
  <c r="C118" i="22"/>
  <c r="B118" i="22"/>
  <c r="K117" i="22"/>
  <c r="E117" i="22"/>
  <c r="Q116" i="22"/>
  <c r="P116" i="22"/>
  <c r="I116" i="22"/>
  <c r="I117" i="22" s="1"/>
  <c r="H116" i="22"/>
  <c r="L116" i="22" s="1"/>
  <c r="C116" i="22"/>
  <c r="B116" i="22"/>
  <c r="F116" i="22" s="1"/>
  <c r="Q115" i="22"/>
  <c r="P115" i="22"/>
  <c r="O115" i="22"/>
  <c r="N115" i="22"/>
  <c r="L115" i="22"/>
  <c r="F115" i="22"/>
  <c r="D115" i="28" s="1"/>
  <c r="Q114" i="22"/>
  <c r="H114" i="22"/>
  <c r="L114" i="22" s="1"/>
  <c r="D114" i="27" s="1"/>
  <c r="B114" i="22"/>
  <c r="N114" i="22" s="1"/>
  <c r="Q113" i="22"/>
  <c r="P113" i="22"/>
  <c r="O113" i="22"/>
  <c r="N113" i="22"/>
  <c r="R113" i="22" s="1"/>
  <c r="D113" i="26" s="1"/>
  <c r="L113" i="22"/>
  <c r="Q112" i="22"/>
  <c r="P112" i="22"/>
  <c r="O112" i="22"/>
  <c r="L112" i="22"/>
  <c r="Q111" i="22"/>
  <c r="O111" i="22"/>
  <c r="H111" i="22"/>
  <c r="L111" i="22" s="1"/>
  <c r="D111" i="27" s="1"/>
  <c r="B111" i="22"/>
  <c r="Q110" i="22"/>
  <c r="P110" i="22"/>
  <c r="O110" i="22"/>
  <c r="N110" i="22"/>
  <c r="L110" i="22"/>
  <c r="F110" i="22"/>
  <c r="Q109" i="22"/>
  <c r="P109" i="22"/>
  <c r="O109" i="22"/>
  <c r="Q108" i="22"/>
  <c r="P108" i="22"/>
  <c r="O108" i="22"/>
  <c r="L108" i="22"/>
  <c r="Q107" i="22"/>
  <c r="P107" i="22"/>
  <c r="O107" i="22"/>
  <c r="N107" i="22"/>
  <c r="L107" i="22"/>
  <c r="F107" i="22"/>
  <c r="D107" i="28" s="1"/>
  <c r="Q106" i="22"/>
  <c r="P106" i="22"/>
  <c r="O106" i="22"/>
  <c r="L106" i="22"/>
  <c r="F106" i="22"/>
  <c r="D106" i="28" s="1"/>
  <c r="N106" i="22"/>
  <c r="Q105" i="22"/>
  <c r="P105" i="22"/>
  <c r="O105" i="22"/>
  <c r="L105" i="22"/>
  <c r="F105" i="22"/>
  <c r="D105" i="28" s="1"/>
  <c r="Q104" i="22"/>
  <c r="Q117" i="22" s="1"/>
  <c r="P104" i="22"/>
  <c r="O104" i="22"/>
  <c r="L104" i="22"/>
  <c r="R102" i="22"/>
  <c r="Q102" i="22"/>
  <c r="P102" i="22"/>
  <c r="O102" i="22"/>
  <c r="N102" i="22"/>
  <c r="L102" i="22"/>
  <c r="K102" i="22"/>
  <c r="J102" i="22"/>
  <c r="I102" i="22"/>
  <c r="H102" i="22"/>
  <c r="F102" i="22"/>
  <c r="E102" i="22"/>
  <c r="D102" i="22"/>
  <c r="C102" i="22"/>
  <c r="B102" i="22"/>
  <c r="K99" i="22"/>
  <c r="J99" i="22"/>
  <c r="I99" i="22"/>
  <c r="H99" i="22"/>
  <c r="E99" i="22"/>
  <c r="D99" i="22"/>
  <c r="C99" i="22"/>
  <c r="B99" i="22"/>
  <c r="K98" i="22"/>
  <c r="J98" i="22"/>
  <c r="I98" i="22"/>
  <c r="H98" i="22"/>
  <c r="E98" i="22"/>
  <c r="D98" i="22"/>
  <c r="C98" i="22"/>
  <c r="B98" i="22"/>
  <c r="K97" i="22"/>
  <c r="J97" i="22"/>
  <c r="I97" i="22"/>
  <c r="H97" i="22"/>
  <c r="E97" i="22"/>
  <c r="D97" i="22"/>
  <c r="C97" i="22"/>
  <c r="B97" i="22"/>
  <c r="K96" i="22"/>
  <c r="J96" i="22"/>
  <c r="I96" i="22"/>
  <c r="H96" i="22"/>
  <c r="E96" i="22"/>
  <c r="D96" i="22"/>
  <c r="C96" i="22"/>
  <c r="B96" i="22"/>
  <c r="K95" i="22"/>
  <c r="J95" i="22"/>
  <c r="E95" i="22"/>
  <c r="D95" i="22"/>
  <c r="K94" i="22"/>
  <c r="J94" i="22"/>
  <c r="E94" i="22"/>
  <c r="D94" i="22"/>
  <c r="K93" i="22"/>
  <c r="J93" i="22"/>
  <c r="E93" i="22"/>
  <c r="D93" i="22"/>
  <c r="K92" i="22"/>
  <c r="J92" i="22"/>
  <c r="E92" i="22"/>
  <c r="K91" i="22"/>
  <c r="E91" i="22"/>
  <c r="J90" i="22"/>
  <c r="D90" i="22"/>
  <c r="Q89" i="22"/>
  <c r="O89" i="22"/>
  <c r="K89" i="22"/>
  <c r="J89" i="22"/>
  <c r="L89" i="22" s="1"/>
  <c r="I89" i="22"/>
  <c r="E89" i="22"/>
  <c r="D89" i="22"/>
  <c r="F89" i="22" s="1"/>
  <c r="C89" i="22"/>
  <c r="A89" i="22"/>
  <c r="Q88" i="22"/>
  <c r="P88" i="22"/>
  <c r="O88" i="22"/>
  <c r="K88" i="22"/>
  <c r="J88" i="22"/>
  <c r="I88" i="22"/>
  <c r="E88" i="22"/>
  <c r="D88" i="22"/>
  <c r="C88" i="22"/>
  <c r="Q86" i="22"/>
  <c r="Q99" i="22" s="1"/>
  <c r="P86" i="22"/>
  <c r="P99" i="22" s="1"/>
  <c r="O86" i="22"/>
  <c r="O99" i="22" s="1"/>
  <c r="N86" i="22"/>
  <c r="L86" i="22"/>
  <c r="L99" i="22" s="1"/>
  <c r="F86" i="22"/>
  <c r="F99" i="22" s="1"/>
  <c r="Q85" i="22"/>
  <c r="Q98" i="22" s="1"/>
  <c r="P85" i="22"/>
  <c r="P98" i="22" s="1"/>
  <c r="O85" i="22"/>
  <c r="O98" i="22" s="1"/>
  <c r="N85" i="22"/>
  <c r="N98" i="22" s="1"/>
  <c r="L85" i="22"/>
  <c r="L98" i="22" s="1"/>
  <c r="F85" i="22"/>
  <c r="F98" i="22" s="1"/>
  <c r="Q84" i="22"/>
  <c r="Q97" i="22" s="1"/>
  <c r="P84" i="22"/>
  <c r="O84" i="22"/>
  <c r="O97" i="22" s="1"/>
  <c r="N84" i="22"/>
  <c r="N97" i="22" s="1"/>
  <c r="L84" i="22"/>
  <c r="L97" i="22" s="1"/>
  <c r="F84" i="22"/>
  <c r="F97" i="22" s="1"/>
  <c r="Q83" i="22"/>
  <c r="Q96" i="22" s="1"/>
  <c r="P83" i="22"/>
  <c r="P96" i="22" s="1"/>
  <c r="O83" i="22"/>
  <c r="O96" i="22" s="1"/>
  <c r="N83" i="22"/>
  <c r="N96" i="22" s="1"/>
  <c r="L83" i="22"/>
  <c r="L96" i="22" s="1"/>
  <c r="F83" i="22"/>
  <c r="F96" i="22" s="1"/>
  <c r="Q82" i="22"/>
  <c r="Q95" i="22" s="1"/>
  <c r="P82" i="22"/>
  <c r="P95" i="22" s="1"/>
  <c r="H82" i="22"/>
  <c r="H95" i="22" s="1"/>
  <c r="B82" i="22"/>
  <c r="B95" i="22" s="1"/>
  <c r="Q81" i="22"/>
  <c r="Q94" i="22" s="1"/>
  <c r="P81" i="22"/>
  <c r="P94" i="22" s="1"/>
  <c r="H81" i="22"/>
  <c r="H94" i="22" s="1"/>
  <c r="F81" i="22"/>
  <c r="F94" i="22" s="1"/>
  <c r="B81" i="22"/>
  <c r="B94" i="22" s="1"/>
  <c r="Q80" i="22"/>
  <c r="Q93" i="22" s="1"/>
  <c r="P80" i="22"/>
  <c r="P93" i="22" s="1"/>
  <c r="H80" i="22"/>
  <c r="H93" i="22" s="1"/>
  <c r="C93" i="22"/>
  <c r="B80" i="22"/>
  <c r="N80" i="22" s="1"/>
  <c r="Q79" i="22"/>
  <c r="Q92" i="22" s="1"/>
  <c r="P79" i="22"/>
  <c r="P92" i="22" s="1"/>
  <c r="I79" i="22"/>
  <c r="I92" i="22" s="1"/>
  <c r="H79" i="22"/>
  <c r="H92" i="22" s="1"/>
  <c r="D92" i="22"/>
  <c r="C79" i="22"/>
  <c r="C92" i="22" s="1"/>
  <c r="B79" i="22"/>
  <c r="B92" i="22" s="1"/>
  <c r="Q78" i="22"/>
  <c r="Q91" i="22" s="1"/>
  <c r="J78" i="22"/>
  <c r="I78" i="22"/>
  <c r="I91" i="22" s="1"/>
  <c r="H78" i="22"/>
  <c r="H91" i="22" s="1"/>
  <c r="D78" i="22"/>
  <c r="D91" i="22" s="1"/>
  <c r="C78" i="22"/>
  <c r="C91" i="22" s="1"/>
  <c r="B78" i="22"/>
  <c r="B91" i="22" s="1"/>
  <c r="P77" i="22"/>
  <c r="P90" i="22" s="1"/>
  <c r="I77" i="22"/>
  <c r="I90" i="22" s="1"/>
  <c r="H77" i="22"/>
  <c r="H90" i="22" s="1"/>
  <c r="C77" i="22"/>
  <c r="C90" i="22" s="1"/>
  <c r="B77" i="22"/>
  <c r="B90" i="22" s="1"/>
  <c r="Q76" i="22"/>
  <c r="P76" i="22"/>
  <c r="P89" i="22" s="1"/>
  <c r="R89" i="22" s="1"/>
  <c r="I76" i="22"/>
  <c r="C76" i="22"/>
  <c r="O76" i="22" s="1"/>
  <c r="Q75" i="22"/>
  <c r="P75" i="22"/>
  <c r="I75" i="22"/>
  <c r="C75" i="22"/>
  <c r="Q74" i="22"/>
  <c r="O74" i="22"/>
  <c r="N74" i="22"/>
  <c r="K74" i="22"/>
  <c r="I74" i="22"/>
  <c r="H74" i="22"/>
  <c r="E74" i="22"/>
  <c r="C74" i="22"/>
  <c r="B74" i="22"/>
  <c r="I65" i="22"/>
  <c r="C65" i="22"/>
  <c r="K66" i="22"/>
  <c r="J66" i="22"/>
  <c r="I66" i="22"/>
  <c r="H66" i="22"/>
  <c r="E66" i="22"/>
  <c r="D66" i="22"/>
  <c r="C66" i="22"/>
  <c r="B66" i="22"/>
  <c r="Q62" i="22"/>
  <c r="P62" i="22"/>
  <c r="O62" i="22"/>
  <c r="N62" i="22"/>
  <c r="L62" i="22"/>
  <c r="F62" i="22"/>
  <c r="Q61" i="22"/>
  <c r="P61" i="22"/>
  <c r="O61" i="22"/>
  <c r="O65" i="22" s="1"/>
  <c r="N61" i="22"/>
  <c r="L61" i="22"/>
  <c r="F61" i="22"/>
  <c r="Q60" i="22"/>
  <c r="P60" i="22"/>
  <c r="O60" i="22"/>
  <c r="N60" i="22"/>
  <c r="R60" i="22" s="1"/>
  <c r="L60" i="22"/>
  <c r="F60" i="22"/>
  <c r="Q59" i="22"/>
  <c r="P59" i="22"/>
  <c r="R59" i="22" s="1"/>
  <c r="O59" i="22"/>
  <c r="N59" i="22"/>
  <c r="L59" i="22"/>
  <c r="F59" i="22"/>
  <c r="Q58" i="22"/>
  <c r="P58" i="22"/>
  <c r="O58" i="22"/>
  <c r="N58" i="22"/>
  <c r="R58" i="22" s="1"/>
  <c r="L58" i="22"/>
  <c r="F58" i="22"/>
  <c r="Q57" i="22"/>
  <c r="P57" i="22"/>
  <c r="O57" i="22"/>
  <c r="N57" i="22"/>
  <c r="L57" i="22"/>
  <c r="F57" i="22"/>
  <c r="Q56" i="22"/>
  <c r="P56" i="22"/>
  <c r="O56" i="22"/>
  <c r="N56" i="22"/>
  <c r="R56" i="22" s="1"/>
  <c r="L56" i="22"/>
  <c r="F56" i="22"/>
  <c r="Q55" i="22"/>
  <c r="P55" i="22"/>
  <c r="O55" i="22"/>
  <c r="N55" i="22"/>
  <c r="L55" i="22"/>
  <c r="F55" i="22"/>
  <c r="Q54" i="22"/>
  <c r="P54" i="22"/>
  <c r="O54" i="22"/>
  <c r="N54" i="22"/>
  <c r="R54" i="22" s="1"/>
  <c r="L54" i="22"/>
  <c r="F54" i="22"/>
  <c r="Q53" i="22"/>
  <c r="P53" i="22"/>
  <c r="O53" i="22"/>
  <c r="N53" i="22"/>
  <c r="L53" i="22"/>
  <c r="F53" i="22"/>
  <c r="Q52" i="22"/>
  <c r="P52" i="22"/>
  <c r="O52" i="22"/>
  <c r="N52" i="22"/>
  <c r="L52" i="22"/>
  <c r="D52" i="27" s="1"/>
  <c r="F52" i="22"/>
  <c r="Q51" i="22"/>
  <c r="P51" i="22"/>
  <c r="O51" i="22"/>
  <c r="N51" i="22"/>
  <c r="L51" i="22"/>
  <c r="F51" i="22"/>
  <c r="Q50" i="22"/>
  <c r="P50" i="22"/>
  <c r="O50" i="22"/>
  <c r="N50" i="22"/>
  <c r="R50" i="22" s="1"/>
  <c r="L50" i="22"/>
  <c r="F50" i="22"/>
  <c r="Q49" i="22"/>
  <c r="P49" i="22"/>
  <c r="O49" i="22"/>
  <c r="N49" i="22"/>
  <c r="L49" i="22"/>
  <c r="F49" i="22"/>
  <c r="Q48" i="22"/>
  <c r="P48" i="22"/>
  <c r="O48" i="22"/>
  <c r="N48" i="22"/>
  <c r="R48" i="22" s="1"/>
  <c r="F48" i="22"/>
  <c r="Q47" i="22"/>
  <c r="P47" i="22"/>
  <c r="O47" i="22"/>
  <c r="N47" i="22"/>
  <c r="F47" i="22"/>
  <c r="Q46" i="22"/>
  <c r="P46" i="22"/>
  <c r="O46" i="22"/>
  <c r="N46" i="22"/>
  <c r="F46" i="22"/>
  <c r="Q45" i="22"/>
  <c r="P45" i="22"/>
  <c r="O45" i="22"/>
  <c r="N45" i="22"/>
  <c r="Q44" i="22"/>
  <c r="P44" i="22"/>
  <c r="O44" i="22"/>
  <c r="N44" i="22"/>
  <c r="F44" i="22"/>
  <c r="Q43" i="22"/>
  <c r="P43" i="22"/>
  <c r="O43" i="22"/>
  <c r="N43" i="22"/>
  <c r="R43" i="22" s="1"/>
  <c r="L43" i="22"/>
  <c r="F43" i="22"/>
  <c r="Q42" i="22"/>
  <c r="Q66" i="22" s="1"/>
  <c r="P42" i="22"/>
  <c r="P66" i="22" s="1"/>
  <c r="O42" i="22"/>
  <c r="N42" i="22"/>
  <c r="L42" i="22"/>
  <c r="F42" i="22"/>
  <c r="K39" i="22"/>
  <c r="J39" i="22"/>
  <c r="I39" i="22"/>
  <c r="H39" i="22"/>
  <c r="H109" i="22" s="1"/>
  <c r="E39" i="22"/>
  <c r="Q136" i="22" s="1"/>
  <c r="D39" i="22"/>
  <c r="P136" i="22" s="1"/>
  <c r="C39" i="22"/>
  <c r="B39" i="22"/>
  <c r="B65" i="22" s="1"/>
  <c r="Q38" i="22"/>
  <c r="P38" i="22"/>
  <c r="O38" i="22"/>
  <c r="N38" i="22"/>
  <c r="R38" i="22" s="1"/>
  <c r="L38" i="22"/>
  <c r="F38" i="22"/>
  <c r="Q37" i="22"/>
  <c r="P37" i="22"/>
  <c r="O37" i="22"/>
  <c r="N37" i="22"/>
  <c r="L37" i="22"/>
  <c r="F37" i="22"/>
  <c r="Q36" i="22"/>
  <c r="P36" i="22"/>
  <c r="O36" i="22"/>
  <c r="N36" i="22"/>
  <c r="R36" i="22" s="1"/>
  <c r="L36" i="22"/>
  <c r="F36" i="22"/>
  <c r="Q35" i="22"/>
  <c r="P35" i="22"/>
  <c r="O35" i="22"/>
  <c r="N35" i="22"/>
  <c r="R35" i="22" s="1"/>
  <c r="L35" i="22"/>
  <c r="F35" i="22"/>
  <c r="Q34" i="22"/>
  <c r="P34" i="22"/>
  <c r="O34" i="22"/>
  <c r="N34" i="22"/>
  <c r="L34" i="22"/>
  <c r="F34" i="22"/>
  <c r="Q33" i="22"/>
  <c r="P33" i="22"/>
  <c r="O33" i="22"/>
  <c r="N33" i="22"/>
  <c r="L33" i="22"/>
  <c r="F33" i="22"/>
  <c r="Q32" i="22"/>
  <c r="P32" i="22"/>
  <c r="O32" i="22"/>
  <c r="R32" i="22" s="1"/>
  <c r="N32" i="22"/>
  <c r="L32" i="22"/>
  <c r="F32" i="22"/>
  <c r="Q31" i="22"/>
  <c r="P31" i="22"/>
  <c r="O31" i="22"/>
  <c r="N31" i="22"/>
  <c r="L31" i="22"/>
  <c r="D31" i="27" s="1"/>
  <c r="F31" i="22"/>
  <c r="Q30" i="22"/>
  <c r="P30" i="22"/>
  <c r="O30" i="22"/>
  <c r="N30" i="22"/>
  <c r="L30" i="22"/>
  <c r="D30" i="27" s="1"/>
  <c r="F30" i="22"/>
  <c r="Q29" i="22"/>
  <c r="Q39" i="22" s="1"/>
  <c r="Q65" i="22" s="1"/>
  <c r="Q67" i="22" s="1"/>
  <c r="P29" i="22"/>
  <c r="O29" i="22"/>
  <c r="N29" i="22"/>
  <c r="L29" i="22"/>
  <c r="F29" i="22"/>
  <c r="R27" i="22"/>
  <c r="L27" i="22"/>
  <c r="F27" i="22"/>
  <c r="Q26" i="22"/>
  <c r="P26" i="22"/>
  <c r="N26" i="22"/>
  <c r="F26" i="22"/>
  <c r="L25" i="22"/>
  <c r="D25" i="27" s="1"/>
  <c r="F25" i="22"/>
  <c r="Q24" i="22"/>
  <c r="P24" i="22"/>
  <c r="O24" i="22"/>
  <c r="N24" i="22"/>
  <c r="L24" i="22"/>
  <c r="D24" i="27" s="1"/>
  <c r="F24" i="22"/>
  <c r="Q23" i="22"/>
  <c r="P23" i="22"/>
  <c r="O23" i="22"/>
  <c r="R23" i="22" s="1"/>
  <c r="D23" i="26" s="1"/>
  <c r="N23" i="22"/>
  <c r="L23" i="22"/>
  <c r="D23" i="27" s="1"/>
  <c r="F23" i="22"/>
  <c r="Q22" i="22"/>
  <c r="P22" i="22"/>
  <c r="O22" i="22"/>
  <c r="N22" i="22"/>
  <c r="L22" i="22"/>
  <c r="D22" i="27" s="1"/>
  <c r="F22" i="22"/>
  <c r="N18" i="22"/>
  <c r="R18" i="22" s="1"/>
  <c r="L18" i="22"/>
  <c r="F18" i="22"/>
  <c r="N17" i="22"/>
  <c r="R17" i="22" s="1"/>
  <c r="L17" i="22"/>
  <c r="F17" i="22"/>
  <c r="N16" i="22"/>
  <c r="R16" i="22" s="1"/>
  <c r="L16" i="22"/>
  <c r="F16" i="22"/>
  <c r="N15" i="22"/>
  <c r="R15" i="22" s="1"/>
  <c r="L15" i="22"/>
  <c r="F15" i="22"/>
  <c r="N14" i="22"/>
  <c r="R14" i="22" s="1"/>
  <c r="F14" i="22"/>
  <c r="B13" i="22"/>
  <c r="N13" i="22" s="1"/>
  <c r="R13" i="22" s="1"/>
  <c r="D13" i="26" s="1"/>
  <c r="B12" i="22"/>
  <c r="N12" i="22" s="1"/>
  <c r="R12" i="22" s="1"/>
  <c r="L11" i="22"/>
  <c r="D11" i="27" s="1"/>
  <c r="E43" i="31" s="1"/>
  <c r="B11" i="22"/>
  <c r="N11" i="22" s="1"/>
  <c r="R11" i="22" s="1"/>
  <c r="D11" i="26" s="1"/>
  <c r="H10" i="22"/>
  <c r="L10" i="22" s="1"/>
  <c r="B10" i="22"/>
  <c r="F10" i="22" s="1"/>
  <c r="L9" i="22"/>
  <c r="H9" i="22"/>
  <c r="B9" i="22"/>
  <c r="N9" i="22" s="1"/>
  <c r="R9" i="22" s="1"/>
  <c r="H8" i="22"/>
  <c r="N8" i="22" s="1"/>
  <c r="R8" i="22" s="1"/>
  <c r="F8" i="22"/>
  <c r="B8" i="22"/>
  <c r="H7" i="22"/>
  <c r="L7" i="22" s="1"/>
  <c r="B7" i="22"/>
  <c r="N7" i="22" s="1"/>
  <c r="R7" i="22" s="1"/>
  <c r="H6" i="22"/>
  <c r="B6" i="22"/>
  <c r="F6" i="22" s="1"/>
  <c r="R3" i="22"/>
  <c r="L3" i="22"/>
  <c r="F3" i="22"/>
  <c r="N2" i="22"/>
  <c r="L2" i="22"/>
  <c r="F2" i="22"/>
  <c r="F99" i="30" l="1"/>
  <c r="F7" i="35"/>
  <c r="F78" i="30"/>
  <c r="F106" i="30"/>
  <c r="R67" i="24"/>
  <c r="N63" i="22"/>
  <c r="R44" i="22"/>
  <c r="F63" i="22"/>
  <c r="D44" i="28"/>
  <c r="D63" i="28" s="1"/>
  <c r="D66" i="28" s="1"/>
  <c r="D67" i="28" s="1"/>
  <c r="R174" i="24"/>
  <c r="E167" i="26"/>
  <c r="E174" i="26" s="1"/>
  <c r="F203" i="24"/>
  <c r="E198" i="28"/>
  <c r="E203" i="28" s="1"/>
  <c r="E136" i="26"/>
  <c r="R133" i="21"/>
  <c r="F133" i="26" s="1"/>
  <c r="M109" i="26"/>
  <c r="F117" i="24"/>
  <c r="F130" i="24" s="1"/>
  <c r="F131" i="24" s="1"/>
  <c r="E131" i="28" s="1"/>
  <c r="E109" i="28"/>
  <c r="E117" i="28" s="1"/>
  <c r="E130" i="28" s="1"/>
  <c r="E70" i="28" s="1"/>
  <c r="D2" i="27"/>
  <c r="K2" i="27" s="1"/>
  <c r="D2" i="28"/>
  <c r="L2" i="28" s="1"/>
  <c r="G69" i="28"/>
  <c r="F150" i="28"/>
  <c r="F90" i="21"/>
  <c r="F90" i="28" s="1"/>
  <c r="F100" i="28" s="1"/>
  <c r="F77" i="28"/>
  <c r="F87" i="28" s="1"/>
  <c r="F72" i="28" s="1"/>
  <c r="G30" i="29"/>
  <c r="F190" i="21"/>
  <c r="F181" i="28"/>
  <c r="F190" i="28" s="1"/>
  <c r="F165" i="28"/>
  <c r="G129" i="30"/>
  <c r="G137" i="30" s="1"/>
  <c r="G138" i="30" s="1"/>
  <c r="P137" i="21"/>
  <c r="P138" i="21" s="1"/>
  <c r="E33" i="35"/>
  <c r="E37" i="30"/>
  <c r="G251" i="27"/>
  <c r="G250" i="27"/>
  <c r="F70" i="26"/>
  <c r="G20" i="35"/>
  <c r="G48" i="35" s="1"/>
  <c r="E39" i="26"/>
  <c r="E65" i="26" s="1"/>
  <c r="E67" i="26" s="1"/>
  <c r="F9" i="35"/>
  <c r="F19" i="35" s="1"/>
  <c r="M74" i="29"/>
  <c r="G22" i="35"/>
  <c r="L109" i="26"/>
  <c r="E22" i="31"/>
  <c r="E30" i="31" s="1"/>
  <c r="E66" i="31"/>
  <c r="E74" i="31" s="1"/>
  <c r="E51" i="31"/>
  <c r="K51" i="31" s="1"/>
  <c r="N45" i="30"/>
  <c r="E38" i="35"/>
  <c r="E43" i="30"/>
  <c r="D63" i="27"/>
  <c r="D66" i="27" s="1"/>
  <c r="E32" i="35"/>
  <c r="E36" i="30"/>
  <c r="L19" i="33"/>
  <c r="G69" i="27"/>
  <c r="G256" i="27"/>
  <c r="G252" i="27"/>
  <c r="G247" i="27"/>
  <c r="G243" i="27"/>
  <c r="G255" i="27"/>
  <c r="G246" i="27"/>
  <c r="G254" i="27"/>
  <c r="G249" i="27"/>
  <c r="G245" i="27"/>
  <c r="G257" i="27"/>
  <c r="G253" i="27"/>
  <c r="G248" i="27"/>
  <c r="G226" i="27"/>
  <c r="G233" i="27" s="1"/>
  <c r="G244" i="27"/>
  <c r="L112" i="27"/>
  <c r="K205" i="24"/>
  <c r="K218" i="24" s="1"/>
  <c r="K219" i="24" s="1"/>
  <c r="M30" i="29"/>
  <c r="F71" i="26"/>
  <c r="F30" i="29"/>
  <c r="L30" i="29" s="1"/>
  <c r="G190" i="26"/>
  <c r="G150" i="26"/>
  <c r="F85" i="30"/>
  <c r="G137" i="26"/>
  <c r="G138" i="26" s="1"/>
  <c r="E45" i="29"/>
  <c r="K13" i="26"/>
  <c r="E96" i="30" s="1"/>
  <c r="M110" i="26"/>
  <c r="N112" i="26"/>
  <c r="N114" i="26" s="1"/>
  <c r="E43" i="29"/>
  <c r="K11" i="26"/>
  <c r="F74" i="29"/>
  <c r="L74" i="29" s="1"/>
  <c r="F165" i="27"/>
  <c r="D216" i="27"/>
  <c r="D216" i="28"/>
  <c r="D216" i="26"/>
  <c r="R213" i="22"/>
  <c r="D213" i="26" s="1"/>
  <c r="R211" i="22"/>
  <c r="D211" i="26" s="1"/>
  <c r="D3" i="27"/>
  <c r="D3" i="26"/>
  <c r="D3" i="28"/>
  <c r="G218" i="27"/>
  <c r="R205" i="25"/>
  <c r="R218" i="25" s="1"/>
  <c r="G72" i="26"/>
  <c r="F137" i="27"/>
  <c r="F138" i="27" s="1"/>
  <c r="L203" i="21"/>
  <c r="F198" i="27"/>
  <c r="F203" i="27" s="1"/>
  <c r="L100" i="21"/>
  <c r="F88" i="27"/>
  <c r="L150" i="21"/>
  <c r="F140" i="27"/>
  <c r="F150" i="27" s="1"/>
  <c r="R88" i="21"/>
  <c r="F5" i="26"/>
  <c r="R203" i="21"/>
  <c r="F198" i="26"/>
  <c r="F203" i="26" s="1"/>
  <c r="L190" i="21"/>
  <c r="F181" i="27"/>
  <c r="F190" i="27" s="1"/>
  <c r="L90" i="21"/>
  <c r="F90" i="27" s="1"/>
  <c r="F77" i="27"/>
  <c r="F87" i="27" s="1"/>
  <c r="F72" i="27" s="1"/>
  <c r="L95" i="24"/>
  <c r="E95" i="27" s="1"/>
  <c r="E82" i="27"/>
  <c r="R94" i="24"/>
  <c r="E94" i="26" s="1"/>
  <c r="E81" i="26"/>
  <c r="R91" i="24"/>
  <c r="E91" i="26" s="1"/>
  <c r="E78" i="26"/>
  <c r="R92" i="24"/>
  <c r="E92" i="26" s="1"/>
  <c r="E79" i="26"/>
  <c r="E117" i="27"/>
  <c r="E130" i="27" s="1"/>
  <c r="E117" i="26"/>
  <c r="E130" i="26" s="1"/>
  <c r="F20" i="35" s="1"/>
  <c r="F48" i="35" s="1"/>
  <c r="E165" i="27"/>
  <c r="Q25" i="24"/>
  <c r="R25" i="24" s="1"/>
  <c r="E25" i="26" s="1"/>
  <c r="L100" i="24"/>
  <c r="E88" i="27"/>
  <c r="L150" i="24"/>
  <c r="E140" i="27"/>
  <c r="E150" i="27" s="1"/>
  <c r="L190" i="24"/>
  <c r="E181" i="27"/>
  <c r="E190" i="27" s="1"/>
  <c r="L90" i="24"/>
  <c r="E90" i="27" s="1"/>
  <c r="E77" i="27"/>
  <c r="M29" i="22"/>
  <c r="D29" i="27"/>
  <c r="D39" i="27"/>
  <c r="D65" i="27" s="1"/>
  <c r="D67" i="27" s="1"/>
  <c r="R51" i="22"/>
  <c r="R52" i="22"/>
  <c r="D52" i="26" s="1"/>
  <c r="E16" i="35" s="1"/>
  <c r="C67" i="22"/>
  <c r="N81" i="22"/>
  <c r="N94" i="22" s="1"/>
  <c r="N104" i="22"/>
  <c r="R104" i="22" s="1"/>
  <c r="D104" i="26" s="1"/>
  <c r="R121" i="22"/>
  <c r="D121" i="26" s="1"/>
  <c r="R126" i="22"/>
  <c r="O127" i="22"/>
  <c r="R127" i="22" s="1"/>
  <c r="D127" i="26" s="1"/>
  <c r="F128" i="22"/>
  <c r="R143" i="22"/>
  <c r="O148" i="22"/>
  <c r="Q165" i="22"/>
  <c r="R160" i="22"/>
  <c r="R188" i="22"/>
  <c r="R208" i="22"/>
  <c r="D208" i="26" s="1"/>
  <c r="R215" i="22"/>
  <c r="D215" i="26" s="1"/>
  <c r="D230" i="26" s="1"/>
  <c r="R22" i="22"/>
  <c r="D22" i="26" s="1"/>
  <c r="R33" i="22"/>
  <c r="F12" i="22"/>
  <c r="R24" i="22"/>
  <c r="D24" i="26" s="1"/>
  <c r="O39" i="22"/>
  <c r="R34" i="22"/>
  <c r="R37" i="22"/>
  <c r="R42" i="22"/>
  <c r="R49" i="22"/>
  <c r="R55" i="22"/>
  <c r="R57" i="22"/>
  <c r="R62" i="22"/>
  <c r="O79" i="22"/>
  <c r="O92" i="22" s="1"/>
  <c r="N82" i="22"/>
  <c r="K130" i="22"/>
  <c r="R124" i="22"/>
  <c r="I129" i="22"/>
  <c r="I130" i="22" s="1"/>
  <c r="I131" i="22" s="1"/>
  <c r="R142" i="22"/>
  <c r="D142" i="26" s="1"/>
  <c r="R169" i="22"/>
  <c r="R170" i="22"/>
  <c r="D170" i="26" s="1"/>
  <c r="R173" i="22"/>
  <c r="O179" i="22"/>
  <c r="N178" i="22"/>
  <c r="R178" i="22" s="1"/>
  <c r="D178" i="26" s="1"/>
  <c r="R182" i="22"/>
  <c r="O203" i="22"/>
  <c r="B5" i="22"/>
  <c r="B76" i="22" s="1"/>
  <c r="R31" i="22"/>
  <c r="D31" i="26" s="1"/>
  <c r="E10" i="35" s="1"/>
  <c r="H19" i="22"/>
  <c r="J153" i="22" s="1"/>
  <c r="R53" i="22"/>
  <c r="R84" i="22"/>
  <c r="R97" i="22" s="1"/>
  <c r="R110" i="22"/>
  <c r="O116" i="22"/>
  <c r="F127" i="22"/>
  <c r="O146" i="22"/>
  <c r="L148" i="22"/>
  <c r="D148" i="27" s="1"/>
  <c r="P174" i="22"/>
  <c r="P179" i="22"/>
  <c r="N184" i="22"/>
  <c r="R189" i="22"/>
  <c r="P203" i="22"/>
  <c r="R193" i="22"/>
  <c r="D193" i="26" s="1"/>
  <c r="R196" i="22"/>
  <c r="D196" i="26" s="1"/>
  <c r="R207" i="22"/>
  <c r="D207" i="26" s="1"/>
  <c r="D228" i="26" s="1"/>
  <c r="R209" i="22"/>
  <c r="D209" i="26" s="1"/>
  <c r="F114" i="22"/>
  <c r="D114" i="28" s="1"/>
  <c r="C129" i="22"/>
  <c r="L81" i="22"/>
  <c r="P148" i="22"/>
  <c r="L69" i="25"/>
  <c r="H137" i="21"/>
  <c r="H138" i="21" s="1"/>
  <c r="K218" i="21"/>
  <c r="K219" i="21" s="1"/>
  <c r="N161" i="21"/>
  <c r="R161" i="21" s="1"/>
  <c r="F161" i="26" s="1"/>
  <c r="J205" i="24"/>
  <c r="J218" i="24" s="1"/>
  <c r="J219" i="24" s="1"/>
  <c r="L70" i="24"/>
  <c r="N156" i="24"/>
  <c r="R156" i="24" s="1"/>
  <c r="E156" i="26" s="1"/>
  <c r="N133" i="24"/>
  <c r="R133" i="24" s="1"/>
  <c r="E133" i="26" s="1"/>
  <c r="O26" i="22"/>
  <c r="R26" i="22" s="1"/>
  <c r="D26" i="26" s="1"/>
  <c r="H65" i="22"/>
  <c r="H67" i="22" s="1"/>
  <c r="H133" i="22" s="1"/>
  <c r="O131" i="21"/>
  <c r="O137" i="21" s="1"/>
  <c r="O138" i="21" s="1"/>
  <c r="O205" i="21" s="1"/>
  <c r="O218" i="21" s="1"/>
  <c r="O219" i="21" s="1"/>
  <c r="F218" i="25"/>
  <c r="B205" i="21"/>
  <c r="B218" i="21" s="1"/>
  <c r="B219" i="21" s="1"/>
  <c r="N163" i="21"/>
  <c r="R163" i="21" s="1"/>
  <c r="F163" i="26" s="1"/>
  <c r="Q90" i="21"/>
  <c r="Q100" i="21" s="1"/>
  <c r="Q87" i="21"/>
  <c r="R77" i="21"/>
  <c r="F87" i="21"/>
  <c r="E205" i="21"/>
  <c r="E218" i="21" s="1"/>
  <c r="E219" i="21" s="1"/>
  <c r="N162" i="21"/>
  <c r="R162" i="21" s="1"/>
  <c r="F162" i="26" s="1"/>
  <c r="N137" i="21"/>
  <c r="N138" i="21" s="1"/>
  <c r="L165" i="21"/>
  <c r="F131" i="21"/>
  <c r="F71" i="21"/>
  <c r="F150" i="21"/>
  <c r="P165" i="21"/>
  <c r="R153" i="21"/>
  <c r="F153" i="26" s="1"/>
  <c r="N87" i="21"/>
  <c r="L87" i="21"/>
  <c r="N150" i="21"/>
  <c r="R140" i="21"/>
  <c r="F165" i="21"/>
  <c r="H165" i="21"/>
  <c r="L137" i="21"/>
  <c r="L138" i="21" s="1"/>
  <c r="R117" i="21"/>
  <c r="R130" i="21" s="1"/>
  <c r="R70" i="21" s="1"/>
  <c r="N100" i="21"/>
  <c r="Q190" i="21"/>
  <c r="Q205" i="21" s="1"/>
  <c r="R181" i="21"/>
  <c r="R155" i="21"/>
  <c r="F155" i="26" s="1"/>
  <c r="P137" i="24"/>
  <c r="P138" i="24" s="1"/>
  <c r="L165" i="24"/>
  <c r="H165" i="24"/>
  <c r="N117" i="24"/>
  <c r="N130" i="24" s="1"/>
  <c r="F70" i="24"/>
  <c r="N144" i="24"/>
  <c r="R144" i="24" s="1"/>
  <c r="E144" i="26" s="1"/>
  <c r="F144" i="24"/>
  <c r="E144" i="28" s="1"/>
  <c r="F163" i="24"/>
  <c r="E163" i="28" s="1"/>
  <c r="N163" i="24"/>
  <c r="R163" i="24" s="1"/>
  <c r="E163" i="26" s="1"/>
  <c r="N87" i="24"/>
  <c r="R75" i="24"/>
  <c r="E75" i="26" s="1"/>
  <c r="R82" i="24"/>
  <c r="N155" i="24"/>
  <c r="B165" i="24"/>
  <c r="F155" i="24"/>
  <c r="L131" i="24"/>
  <c r="E131" i="27" s="1"/>
  <c r="L87" i="24"/>
  <c r="N145" i="24"/>
  <c r="R145" i="24" s="1"/>
  <c r="E145" i="26" s="1"/>
  <c r="F145" i="24"/>
  <c r="E145" i="28" s="1"/>
  <c r="F132" i="24"/>
  <c r="E132" i="28" s="1"/>
  <c r="Q131" i="24"/>
  <c r="Q137" i="24" s="1"/>
  <c r="Q138" i="24" s="1"/>
  <c r="E137" i="24"/>
  <c r="E138" i="24" s="1"/>
  <c r="H131" i="24"/>
  <c r="L132" i="24"/>
  <c r="E132" i="27" s="1"/>
  <c r="E190" i="24"/>
  <c r="Q181" i="24"/>
  <c r="F181" i="24"/>
  <c r="F190" i="24" s="1"/>
  <c r="B137" i="24"/>
  <c r="B138" i="24" s="1"/>
  <c r="N140" i="24"/>
  <c r="B150" i="24"/>
  <c r="F140" i="24"/>
  <c r="E140" i="28" s="1"/>
  <c r="N89" i="24"/>
  <c r="R5" i="24"/>
  <c r="N88" i="24"/>
  <c r="F146" i="24"/>
  <c r="E146" i="28" s="1"/>
  <c r="N146" i="24"/>
  <c r="R146" i="24" s="1"/>
  <c r="E146" i="26" s="1"/>
  <c r="E90" i="24"/>
  <c r="E100" i="24" s="1"/>
  <c r="Q77" i="24"/>
  <c r="E87" i="24"/>
  <c r="F77" i="24"/>
  <c r="F159" i="24"/>
  <c r="E159" i="28" s="1"/>
  <c r="N159" i="24"/>
  <c r="R159" i="24" s="1"/>
  <c r="E159" i="26" s="1"/>
  <c r="R117" i="24"/>
  <c r="R130" i="24" s="1"/>
  <c r="R70" i="24" s="1"/>
  <c r="F162" i="24"/>
  <c r="E162" i="28" s="1"/>
  <c r="N162" i="24"/>
  <c r="R162" i="24" s="1"/>
  <c r="E162" i="26" s="1"/>
  <c r="O87" i="24"/>
  <c r="D165" i="24"/>
  <c r="D205" i="24" s="1"/>
  <c r="D218" i="24" s="1"/>
  <c r="D219" i="24" s="1"/>
  <c r="F153" i="24"/>
  <c r="E153" i="28" s="1"/>
  <c r="P153" i="24"/>
  <c r="N147" i="24"/>
  <c r="R147" i="24" s="1"/>
  <c r="E147" i="26" s="1"/>
  <c r="F147" i="24"/>
  <c r="E147" i="28" s="1"/>
  <c r="O131" i="24"/>
  <c r="C137" i="24"/>
  <c r="C138" i="24" s="1"/>
  <c r="C205" i="24" s="1"/>
  <c r="C218" i="24" s="1"/>
  <c r="C219" i="24" s="1"/>
  <c r="F161" i="24"/>
  <c r="E161" i="28" s="1"/>
  <c r="N161" i="24"/>
  <c r="R161" i="24" s="1"/>
  <c r="E161" i="26" s="1"/>
  <c r="R198" i="24"/>
  <c r="N203" i="24"/>
  <c r="I137" i="24"/>
  <c r="I138" i="24" s="1"/>
  <c r="I205" i="24" s="1"/>
  <c r="I218" i="24" s="1"/>
  <c r="I219" i="24" s="1"/>
  <c r="O66" i="22"/>
  <c r="O67" i="22" s="1"/>
  <c r="L66" i="22"/>
  <c r="K77" i="22"/>
  <c r="L82" i="22"/>
  <c r="L26" i="22"/>
  <c r="D26" i="27" s="1"/>
  <c r="I94" i="22"/>
  <c r="I100" i="22" s="1"/>
  <c r="I87" i="22"/>
  <c r="B67" i="22"/>
  <c r="F66" i="22"/>
  <c r="P39" i="22"/>
  <c r="P65" i="22" s="1"/>
  <c r="P67" i="22" s="1"/>
  <c r="R30" i="22"/>
  <c r="D30" i="26" s="1"/>
  <c r="E11" i="35" s="1"/>
  <c r="F39" i="22"/>
  <c r="F65" i="22" s="1"/>
  <c r="C87" i="22"/>
  <c r="O82" i="22"/>
  <c r="O95" i="22" s="1"/>
  <c r="F82" i="22"/>
  <c r="F95" i="22" s="1"/>
  <c r="N176" i="22"/>
  <c r="R176" i="22" s="1"/>
  <c r="C165" i="22"/>
  <c r="P129" i="22"/>
  <c r="D129" i="22"/>
  <c r="C117" i="22"/>
  <c r="D117" i="22"/>
  <c r="N39" i="22"/>
  <c r="N65" i="22" s="1"/>
  <c r="I67" i="22"/>
  <c r="N93" i="22"/>
  <c r="F76" i="22"/>
  <c r="D76" i="28" s="1"/>
  <c r="L159" i="22"/>
  <c r="D159" i="27" s="1"/>
  <c r="L144" i="22"/>
  <c r="D144" i="27" s="1"/>
  <c r="H155" i="22"/>
  <c r="L147" i="22"/>
  <c r="D147" i="27" s="1"/>
  <c r="L146" i="22"/>
  <c r="D146" i="27" s="1"/>
  <c r="L145" i="22"/>
  <c r="D145" i="27" s="1"/>
  <c r="L19" i="22"/>
  <c r="D100" i="22"/>
  <c r="F5" i="22"/>
  <c r="F88" i="22" s="1"/>
  <c r="L6" i="22"/>
  <c r="F9" i="22"/>
  <c r="F13" i="22"/>
  <c r="K65" i="22"/>
  <c r="K67" i="22" s="1"/>
  <c r="K133" i="22" s="1"/>
  <c r="N77" i="22"/>
  <c r="F78" i="22"/>
  <c r="F91" i="22" s="1"/>
  <c r="L79" i="22"/>
  <c r="F80" i="22"/>
  <c r="F93" i="22" s="1"/>
  <c r="O81" i="22"/>
  <c r="O94" i="22" s="1"/>
  <c r="C94" i="22"/>
  <c r="P114" i="22"/>
  <c r="P117" i="22" s="1"/>
  <c r="P130" i="22" s="1"/>
  <c r="I150" i="22"/>
  <c r="O144" i="22"/>
  <c r="L174" i="22"/>
  <c r="R177" i="22"/>
  <c r="D177" i="26" s="1"/>
  <c r="R185" i="22"/>
  <c r="H5" i="22"/>
  <c r="N6" i="22"/>
  <c r="N10" i="22"/>
  <c r="R10" i="22" s="1"/>
  <c r="B19" i="22"/>
  <c r="R61" i="22"/>
  <c r="O75" i="22"/>
  <c r="O77" i="22"/>
  <c r="O90" i="22" s="1"/>
  <c r="N79" i="22"/>
  <c r="N112" i="22"/>
  <c r="R112" i="22" s="1"/>
  <c r="D112" i="26" s="1"/>
  <c r="F112" i="22"/>
  <c r="D112" i="28" s="1"/>
  <c r="R115" i="22"/>
  <c r="D115" i="26" s="1"/>
  <c r="R120" i="22"/>
  <c r="R128" i="22"/>
  <c r="O174" i="22"/>
  <c r="R184" i="22"/>
  <c r="R29" i="22"/>
  <c r="D29" i="26" s="1"/>
  <c r="E9" i="35" s="1"/>
  <c r="B117" i="22"/>
  <c r="B130" i="22" s="1"/>
  <c r="D65" i="22"/>
  <c r="D67" i="22" s="1"/>
  <c r="B93" i="22"/>
  <c r="P97" i="22"/>
  <c r="N111" i="22"/>
  <c r="R111" i="22" s="1"/>
  <c r="D111" i="26" s="1"/>
  <c r="F111" i="22"/>
  <c r="D111" i="28" s="1"/>
  <c r="N190" i="22"/>
  <c r="N195" i="22"/>
  <c r="R195" i="22" s="1"/>
  <c r="D195" i="26" s="1"/>
  <c r="L195" i="22"/>
  <c r="R2" i="22"/>
  <c r="D2" i="26" s="1"/>
  <c r="L2" i="26" s="1"/>
  <c r="G29" i="22"/>
  <c r="O136" i="22"/>
  <c r="L39" i="22"/>
  <c r="N66" i="22"/>
  <c r="E65" i="22"/>
  <c r="E67" i="22" s="1"/>
  <c r="J87" i="22"/>
  <c r="J91" i="22"/>
  <c r="J100" i="22" s="1"/>
  <c r="L80" i="22"/>
  <c r="R85" i="22"/>
  <c r="R98" i="22" s="1"/>
  <c r="O190" i="22"/>
  <c r="R212" i="22"/>
  <c r="D212" i="26" s="1"/>
  <c r="F7" i="22"/>
  <c r="L8" i="22"/>
  <c r="F11" i="22"/>
  <c r="L78" i="22"/>
  <c r="D87" i="22"/>
  <c r="C100" i="22"/>
  <c r="Q129" i="22"/>
  <c r="Q130" i="22" s="1"/>
  <c r="K131" i="22"/>
  <c r="D150" i="22"/>
  <c r="F148" i="22"/>
  <c r="D148" i="28" s="1"/>
  <c r="O165" i="22"/>
  <c r="R152" i="22"/>
  <c r="D152" i="26" s="1"/>
  <c r="R168" i="22"/>
  <c r="D168" i="26" s="1"/>
  <c r="R172" i="22"/>
  <c r="L179" i="22"/>
  <c r="P190" i="22"/>
  <c r="R202" i="22"/>
  <c r="N78" i="22"/>
  <c r="F79" i="22"/>
  <c r="F92" i="22" s="1"/>
  <c r="O80" i="22"/>
  <c r="O93" i="22" s="1"/>
  <c r="R83" i="22"/>
  <c r="R96" i="22" s="1"/>
  <c r="N95" i="22"/>
  <c r="R106" i="22"/>
  <c r="D106" i="26" s="1"/>
  <c r="R107" i="22"/>
  <c r="D107" i="26" s="1"/>
  <c r="J117" i="22"/>
  <c r="J130" i="22" s="1"/>
  <c r="N174" i="22"/>
  <c r="R167" i="22"/>
  <c r="D167" i="26" s="1"/>
  <c r="R183" i="22"/>
  <c r="N197" i="22"/>
  <c r="R197" i="22" s="1"/>
  <c r="D197" i="26" s="1"/>
  <c r="F197" i="22"/>
  <c r="D197" i="28" s="1"/>
  <c r="O78" i="22"/>
  <c r="O91" i="22" s="1"/>
  <c r="N99" i="22"/>
  <c r="R86" i="22"/>
  <c r="R99" i="22" s="1"/>
  <c r="B89" i="22"/>
  <c r="B88" i="22"/>
  <c r="B203" i="22"/>
  <c r="J65" i="22"/>
  <c r="J67" i="22" s="1"/>
  <c r="J133" i="22" s="1"/>
  <c r="P78" i="22"/>
  <c r="P91" i="22" s="1"/>
  <c r="P100" i="22" s="1"/>
  <c r="R105" i="22"/>
  <c r="D105" i="26" s="1"/>
  <c r="R210" i="22"/>
  <c r="D210" i="26" s="1"/>
  <c r="N108" i="22"/>
  <c r="R108" i="22" s="1"/>
  <c r="D108" i="26" s="1"/>
  <c r="N116" i="22"/>
  <c r="R116" i="22" s="1"/>
  <c r="N157" i="22"/>
  <c r="R157" i="22" s="1"/>
  <c r="D157" i="26" s="1"/>
  <c r="N192" i="22"/>
  <c r="R119" i="22"/>
  <c r="B129" i="22"/>
  <c r="O125" i="22"/>
  <c r="R125" i="22" s="1"/>
  <c r="D125" i="26" s="1"/>
  <c r="B174" i="22"/>
  <c r="L128" i="22"/>
  <c r="L129" i="22" s="1"/>
  <c r="F168" i="22"/>
  <c r="F177" i="22"/>
  <c r="F184" i="22"/>
  <c r="H190" i="22"/>
  <c r="E129" i="22"/>
  <c r="E130" i="22" s="1"/>
  <c r="B179" i="22"/>
  <c r="O114" i="22"/>
  <c r="O117" i="22" s="1"/>
  <c r="F90" i="24" l="1"/>
  <c r="E90" i="28" s="1"/>
  <c r="E100" i="28" s="1"/>
  <c r="E77" i="28"/>
  <c r="E87" i="28" s="1"/>
  <c r="E72" i="28" s="1"/>
  <c r="F129" i="30"/>
  <c r="F137" i="30" s="1"/>
  <c r="R63" i="22"/>
  <c r="R66" i="22" s="1"/>
  <c r="D44" i="26"/>
  <c r="F174" i="22"/>
  <c r="D168" i="28"/>
  <c r="D174" i="28" s="1"/>
  <c r="D174" i="26"/>
  <c r="F179" i="22"/>
  <c r="D177" i="28"/>
  <c r="D179" i="28" s="1"/>
  <c r="R179" i="22"/>
  <c r="D176" i="26"/>
  <c r="D179" i="26" s="1"/>
  <c r="E150" i="28"/>
  <c r="F71" i="24"/>
  <c r="E71" i="28"/>
  <c r="F129" i="22"/>
  <c r="D127" i="28"/>
  <c r="D129" i="28" s="1"/>
  <c r="D129" i="26"/>
  <c r="C130" i="22"/>
  <c r="P205" i="21"/>
  <c r="P218" i="21" s="1"/>
  <c r="P219" i="21" s="1"/>
  <c r="R131" i="21"/>
  <c r="F131" i="26" s="1"/>
  <c r="F137" i="21"/>
  <c r="F138" i="21" s="1"/>
  <c r="F131" i="28"/>
  <c r="F137" i="28" s="1"/>
  <c r="F138" i="28" s="1"/>
  <c r="F205" i="28" s="1"/>
  <c r="E137" i="28"/>
  <c r="E138" i="28" s="1"/>
  <c r="D130" i="22"/>
  <c r="F100" i="22"/>
  <c r="D88" i="28"/>
  <c r="E165" i="28"/>
  <c r="R69" i="25"/>
  <c r="E87" i="27"/>
  <c r="E72" i="27" s="1"/>
  <c r="N137" i="26"/>
  <c r="F22" i="35"/>
  <c r="K74" i="31"/>
  <c r="E70" i="27"/>
  <c r="F42" i="35"/>
  <c r="K110" i="27"/>
  <c r="E31" i="35"/>
  <c r="E41" i="35" s="1"/>
  <c r="E44" i="35" s="1"/>
  <c r="E35" i="30"/>
  <c r="E45" i="30" s="1"/>
  <c r="M45" i="30" s="1"/>
  <c r="M19" i="33"/>
  <c r="K30" i="31"/>
  <c r="G205" i="26"/>
  <c r="G245" i="26" s="1"/>
  <c r="G219" i="27"/>
  <c r="G238" i="27"/>
  <c r="G259" i="27"/>
  <c r="L115" i="27"/>
  <c r="L114" i="27"/>
  <c r="K112" i="27"/>
  <c r="D39" i="26"/>
  <c r="D65" i="26" s="1"/>
  <c r="E68" i="29"/>
  <c r="E24" i="29"/>
  <c r="E104" i="30"/>
  <c r="E83" i="30"/>
  <c r="D63" i="26"/>
  <c r="D66" i="26" s="1"/>
  <c r="E71" i="26"/>
  <c r="L110" i="26"/>
  <c r="N115" i="26"/>
  <c r="K19" i="26"/>
  <c r="E75" i="30"/>
  <c r="F138" i="30"/>
  <c r="E66" i="29"/>
  <c r="E74" i="29" s="1"/>
  <c r="E22" i="29"/>
  <c r="E30" i="29" s="1"/>
  <c r="E51" i="29"/>
  <c r="K51" i="29" s="1"/>
  <c r="F219" i="25"/>
  <c r="G223" i="28"/>
  <c r="G223" i="27"/>
  <c r="F205" i="27"/>
  <c r="F67" i="22"/>
  <c r="F165" i="26"/>
  <c r="R150" i="21"/>
  <c r="F140" i="26"/>
  <c r="R100" i="21"/>
  <c r="F88" i="26"/>
  <c r="F100" i="26" s="1"/>
  <c r="R190" i="21"/>
  <c r="F181" i="26"/>
  <c r="R90" i="21"/>
  <c r="F90" i="26" s="1"/>
  <c r="F77" i="26"/>
  <c r="F87" i="26" s="1"/>
  <c r="E137" i="27"/>
  <c r="E70" i="26"/>
  <c r="R95" i="24"/>
  <c r="E95" i="26" s="1"/>
  <c r="E82" i="26"/>
  <c r="E138" i="27"/>
  <c r="E205" i="27" s="1"/>
  <c r="E71" i="27"/>
  <c r="R88" i="24"/>
  <c r="E5" i="26"/>
  <c r="R203" i="24"/>
  <c r="E198" i="26"/>
  <c r="E203" i="26" s="1"/>
  <c r="K181" i="22"/>
  <c r="M19" i="22"/>
  <c r="D19" i="27"/>
  <c r="L94" i="22"/>
  <c r="D94" i="27" s="1"/>
  <c r="D81" i="27"/>
  <c r="L93" i="22"/>
  <c r="D93" i="27" s="1"/>
  <c r="D80" i="27"/>
  <c r="L95" i="22"/>
  <c r="D95" i="27" s="1"/>
  <c r="D82" i="27"/>
  <c r="L91" i="22"/>
  <c r="D91" i="27" s="1"/>
  <c r="D78" i="27"/>
  <c r="L92" i="22"/>
  <c r="D92" i="27" s="1"/>
  <c r="D79" i="27"/>
  <c r="R219" i="25"/>
  <c r="O150" i="22"/>
  <c r="B156" i="22"/>
  <c r="F156" i="22" s="1"/>
  <c r="D156" i="28" s="1"/>
  <c r="H205" i="21"/>
  <c r="H218" i="21" s="1"/>
  <c r="H219" i="21" s="1"/>
  <c r="E181" i="22"/>
  <c r="C131" i="22"/>
  <c r="O131" i="22" s="1"/>
  <c r="N179" i="22"/>
  <c r="R148" i="22"/>
  <c r="D148" i="26" s="1"/>
  <c r="P150" i="22"/>
  <c r="R87" i="21"/>
  <c r="R72" i="21" s="1"/>
  <c r="H137" i="24"/>
  <c r="H138" i="24" s="1"/>
  <c r="H205" i="24" s="1"/>
  <c r="H218" i="24" s="1"/>
  <c r="H219" i="24" s="1"/>
  <c r="N131" i="24"/>
  <c r="R131" i="24" s="1"/>
  <c r="E131" i="26" s="1"/>
  <c r="L137" i="24"/>
  <c r="L138" i="24" s="1"/>
  <c r="L205" i="24" s="1"/>
  <c r="L69" i="24" s="1"/>
  <c r="N100" i="24"/>
  <c r="F205" i="21"/>
  <c r="F69" i="21" s="1"/>
  <c r="F132" i="26"/>
  <c r="R71" i="21"/>
  <c r="M87" i="21"/>
  <c r="L72" i="21"/>
  <c r="N165" i="21"/>
  <c r="N205" i="21" s="1"/>
  <c r="N218" i="21" s="1"/>
  <c r="N219" i="21" s="1"/>
  <c r="L205" i="21"/>
  <c r="L69" i="21" s="1"/>
  <c r="G87" i="21"/>
  <c r="F72" i="21"/>
  <c r="R165" i="21"/>
  <c r="Q218" i="21"/>
  <c r="Q219" i="21" s="1"/>
  <c r="O137" i="24"/>
  <c r="O138" i="24" s="1"/>
  <c r="O205" i="24" s="1"/>
  <c r="O218" i="24" s="1"/>
  <c r="O219" i="24" s="1"/>
  <c r="F137" i="24"/>
  <c r="F138" i="24" s="1"/>
  <c r="N150" i="24"/>
  <c r="R140" i="24"/>
  <c r="E132" i="26"/>
  <c r="B205" i="24"/>
  <c r="B218" i="24" s="1"/>
  <c r="B219" i="24" s="1"/>
  <c r="F165" i="24"/>
  <c r="F150" i="24"/>
  <c r="E205" i="24"/>
  <c r="E218" i="24" s="1"/>
  <c r="E219" i="24" s="1"/>
  <c r="F87" i="24"/>
  <c r="R155" i="24"/>
  <c r="E155" i="26" s="1"/>
  <c r="N165" i="24"/>
  <c r="R153" i="24"/>
  <c r="E153" i="26" s="1"/>
  <c r="P165" i="24"/>
  <c r="P205" i="24" s="1"/>
  <c r="P218" i="24" s="1"/>
  <c r="P219" i="24" s="1"/>
  <c r="R71" i="24"/>
  <c r="Q90" i="24"/>
  <c r="Q100" i="24" s="1"/>
  <c r="Q87" i="24"/>
  <c r="R77" i="24"/>
  <c r="Q190" i="24"/>
  <c r="Q205" i="24" s="1"/>
  <c r="R181" i="24"/>
  <c r="M87" i="24"/>
  <c r="L72" i="24"/>
  <c r="H156" i="22"/>
  <c r="L156" i="22" s="1"/>
  <c r="D156" i="27" s="1"/>
  <c r="N133" i="22"/>
  <c r="I133" i="22"/>
  <c r="I137" i="22" s="1"/>
  <c r="I138" i="22" s="1"/>
  <c r="I205" i="22" s="1"/>
  <c r="I218" i="22" s="1"/>
  <c r="I219" i="22" s="1"/>
  <c r="R82" i="22"/>
  <c r="N67" i="22"/>
  <c r="F136" i="22"/>
  <c r="R39" i="22"/>
  <c r="R65" i="22" s="1"/>
  <c r="R67" i="22" s="1"/>
  <c r="O100" i="22"/>
  <c r="R174" i="22"/>
  <c r="O132" i="22"/>
  <c r="E131" i="22"/>
  <c r="Q132" i="22"/>
  <c r="L136" i="22"/>
  <c r="D136" i="27" s="1"/>
  <c r="L65" i="22"/>
  <c r="L67" i="22" s="1"/>
  <c r="B155" i="22"/>
  <c r="F19" i="22"/>
  <c r="R81" i="22"/>
  <c r="R114" i="22"/>
  <c r="D114" i="26" s="1"/>
  <c r="O129" i="22"/>
  <c r="O130" i="22" s="1"/>
  <c r="F75" i="22"/>
  <c r="D75" i="28" s="1"/>
  <c r="B87" i="22"/>
  <c r="N198" i="22"/>
  <c r="H89" i="22"/>
  <c r="H88" i="22"/>
  <c r="L5" i="22"/>
  <c r="H76" i="22"/>
  <c r="L155" i="22"/>
  <c r="D155" i="27" s="1"/>
  <c r="H117" i="22"/>
  <c r="H130" i="22" s="1"/>
  <c r="L109" i="22"/>
  <c r="D109" i="27" s="1"/>
  <c r="K137" i="22"/>
  <c r="K138" i="22" s="1"/>
  <c r="P133" i="22"/>
  <c r="R79" i="22"/>
  <c r="N92" i="22"/>
  <c r="N90" i="22"/>
  <c r="H150" i="22"/>
  <c r="L140" i="22"/>
  <c r="K190" i="22"/>
  <c r="L181" i="22"/>
  <c r="D131" i="22"/>
  <c r="Q133" i="22"/>
  <c r="F109" i="22"/>
  <c r="D109" i="28" s="1"/>
  <c r="D117" i="28" s="1"/>
  <c r="D130" i="28" s="1"/>
  <c r="D70" i="28" s="1"/>
  <c r="N109" i="22"/>
  <c r="R109" i="22" s="1"/>
  <c r="D109" i="26" s="1"/>
  <c r="O87" i="22"/>
  <c r="L77" i="22"/>
  <c r="K90" i="22"/>
  <c r="K100" i="22" s="1"/>
  <c r="K87" i="22"/>
  <c r="R129" i="22"/>
  <c r="N136" i="22"/>
  <c r="R136" i="22" s="1"/>
  <c r="B131" i="22"/>
  <c r="F133" i="22"/>
  <c r="D133" i="28" s="1"/>
  <c r="R192" i="22"/>
  <c r="D192" i="26" s="1"/>
  <c r="F198" i="22"/>
  <c r="B163" i="22"/>
  <c r="B162" i="22"/>
  <c r="B161" i="22"/>
  <c r="B100" i="22"/>
  <c r="R80" i="22"/>
  <c r="J131" i="22"/>
  <c r="N91" i="22"/>
  <c r="R78" i="22"/>
  <c r="P87" i="22"/>
  <c r="N19" i="22"/>
  <c r="R19" i="22" s="1"/>
  <c r="D19" i="26" s="1"/>
  <c r="E53" i="30" s="1"/>
  <c r="N5" i="22"/>
  <c r="R6" i="22"/>
  <c r="L153" i="22"/>
  <c r="D153" i="27" s="1"/>
  <c r="J165" i="22"/>
  <c r="N14" i="19"/>
  <c r="N15" i="19"/>
  <c r="N16" i="19"/>
  <c r="N17" i="19"/>
  <c r="N18" i="19"/>
  <c r="N2" i="19"/>
  <c r="H16" i="12"/>
  <c r="N16" i="12" s="1"/>
  <c r="H14" i="12"/>
  <c r="H15" i="12"/>
  <c r="H13" i="12"/>
  <c r="H12" i="12"/>
  <c r="N41" i="12"/>
  <c r="N39" i="12"/>
  <c r="N40" i="12"/>
  <c r="N24" i="12"/>
  <c r="N23" i="12"/>
  <c r="N22" i="12"/>
  <c r="N45" i="12"/>
  <c r="N46" i="12"/>
  <c r="N47" i="12"/>
  <c r="N48" i="12"/>
  <c r="N49" i="12"/>
  <c r="N34" i="12"/>
  <c r="N35" i="12"/>
  <c r="N36" i="12"/>
  <c r="N37" i="12"/>
  <c r="N38" i="12"/>
  <c r="N42" i="12"/>
  <c r="N43" i="12"/>
  <c r="N44" i="12"/>
  <c r="N33" i="12"/>
  <c r="N17" i="12"/>
  <c r="E7" i="35" l="1"/>
  <c r="E19" i="35" s="1"/>
  <c r="E99" i="30"/>
  <c r="E106" i="30" s="1"/>
  <c r="E78" i="30"/>
  <c r="E85" i="30"/>
  <c r="E129" i="30" s="1"/>
  <c r="E137" i="30" s="1"/>
  <c r="E138" i="30" s="1"/>
  <c r="F203" i="22"/>
  <c r="D198" i="28"/>
  <c r="D203" i="28" s="1"/>
  <c r="E205" i="28"/>
  <c r="E218" i="28" s="1"/>
  <c r="E219" i="28" s="1"/>
  <c r="K109" i="26"/>
  <c r="F218" i="28"/>
  <c r="F219" i="28" s="1"/>
  <c r="F69" i="28"/>
  <c r="D71" i="28"/>
  <c r="F49" i="35"/>
  <c r="F50" i="35" s="1"/>
  <c r="F53" i="35" s="1"/>
  <c r="D67" i="26"/>
  <c r="E22" i="35" s="1"/>
  <c r="G244" i="26"/>
  <c r="G255" i="26"/>
  <c r="G243" i="26"/>
  <c r="G256" i="26"/>
  <c r="G218" i="26"/>
  <c r="G223" i="26" s="1"/>
  <c r="G252" i="26"/>
  <c r="G250" i="26"/>
  <c r="G251" i="26"/>
  <c r="F251" i="27"/>
  <c r="F250" i="27"/>
  <c r="E251" i="27"/>
  <c r="E250" i="27"/>
  <c r="G49" i="35"/>
  <c r="G50" i="35" s="1"/>
  <c r="G53" i="35" s="1"/>
  <c r="K30" i="29"/>
  <c r="K74" i="29"/>
  <c r="G248" i="26"/>
  <c r="D117" i="27"/>
  <c r="D130" i="27" s="1"/>
  <c r="D71" i="27" s="1"/>
  <c r="J109" i="27"/>
  <c r="N19" i="33"/>
  <c r="G249" i="26"/>
  <c r="G247" i="26"/>
  <c r="G254" i="26"/>
  <c r="G246" i="26"/>
  <c r="G69" i="26"/>
  <c r="G226" i="26"/>
  <c r="G233" i="26" s="1"/>
  <c r="G257" i="26"/>
  <c r="G253" i="26"/>
  <c r="F69" i="27"/>
  <c r="F257" i="27"/>
  <c r="F255" i="27"/>
  <c r="F253" i="27"/>
  <c r="F248" i="27"/>
  <c r="F246" i="27"/>
  <c r="F226" i="27"/>
  <c r="F233" i="27" s="1"/>
  <c r="F245" i="27"/>
  <c r="F256" i="27"/>
  <c r="F254" i="27"/>
  <c r="F252" i="27"/>
  <c r="F249" i="27"/>
  <c r="F247" i="27"/>
  <c r="F243" i="27"/>
  <c r="F244" i="27"/>
  <c r="E69" i="27"/>
  <c r="E256" i="27"/>
  <c r="E252" i="27"/>
  <c r="E247" i="27"/>
  <c r="E243" i="27"/>
  <c r="E257" i="27"/>
  <c r="E253" i="27"/>
  <c r="E248" i="27"/>
  <c r="E254" i="27"/>
  <c r="E249" i="27"/>
  <c r="E245" i="27"/>
  <c r="E255" i="27"/>
  <c r="E246" i="27"/>
  <c r="E226" i="27"/>
  <c r="E233" i="27" s="1"/>
  <c r="K114" i="27"/>
  <c r="K115" i="27"/>
  <c r="E244" i="27"/>
  <c r="F190" i="26"/>
  <c r="F150" i="26"/>
  <c r="M137" i="26" s="1"/>
  <c r="L112" i="26"/>
  <c r="L114" i="26" s="1"/>
  <c r="M112" i="26"/>
  <c r="M114" i="26" s="1"/>
  <c r="F218" i="27"/>
  <c r="F137" i="26"/>
  <c r="F138" i="26" s="1"/>
  <c r="F72" i="26"/>
  <c r="E218" i="27"/>
  <c r="E137" i="26"/>
  <c r="E138" i="26" s="1"/>
  <c r="R90" i="24"/>
  <c r="E90" i="26" s="1"/>
  <c r="E77" i="26"/>
  <c r="E87" i="26" s="1"/>
  <c r="E165" i="26"/>
  <c r="R150" i="24"/>
  <c r="E140" i="26"/>
  <c r="R190" i="24"/>
  <c r="E181" i="26"/>
  <c r="R100" i="24"/>
  <c r="E88" i="26"/>
  <c r="E100" i="26" s="1"/>
  <c r="D117" i="26"/>
  <c r="D130" i="26" s="1"/>
  <c r="E20" i="35" s="1"/>
  <c r="E48" i="35" s="1"/>
  <c r="Q25" i="22"/>
  <c r="R25" i="22" s="1"/>
  <c r="D25" i="26" s="1"/>
  <c r="L150" i="22"/>
  <c r="D140" i="27"/>
  <c r="D150" i="27" s="1"/>
  <c r="L88" i="22"/>
  <c r="D5" i="27"/>
  <c r="L190" i="22"/>
  <c r="D181" i="27"/>
  <c r="D190" i="27" s="1"/>
  <c r="L90" i="22"/>
  <c r="D90" i="27" s="1"/>
  <c r="D77" i="27"/>
  <c r="R94" i="22"/>
  <c r="D94" i="26" s="1"/>
  <c r="D81" i="26"/>
  <c r="R93" i="22"/>
  <c r="D93" i="26" s="1"/>
  <c r="D80" i="26"/>
  <c r="R91" i="22"/>
  <c r="D91" i="26" s="1"/>
  <c r="D78" i="26"/>
  <c r="R92" i="22"/>
  <c r="D92" i="26" s="1"/>
  <c r="D79" i="26"/>
  <c r="R95" i="22"/>
  <c r="D95" i="26" s="1"/>
  <c r="D82" i="26"/>
  <c r="C137" i="22"/>
  <c r="C138" i="22" s="1"/>
  <c r="C205" i="22" s="1"/>
  <c r="C218" i="22" s="1"/>
  <c r="C219" i="22" s="1"/>
  <c r="R165" i="24"/>
  <c r="L218" i="21"/>
  <c r="R87" i="24"/>
  <c r="R72" i="24" s="1"/>
  <c r="N137" i="24"/>
  <c r="N138" i="24" s="1"/>
  <c r="N205" i="24" s="1"/>
  <c r="N218" i="24" s="1"/>
  <c r="N219" i="24" s="1"/>
  <c r="D136" i="26"/>
  <c r="R137" i="21"/>
  <c r="R138" i="21" s="1"/>
  <c r="R205" i="21" s="1"/>
  <c r="R218" i="21" s="1"/>
  <c r="F218" i="21"/>
  <c r="F205" i="24"/>
  <c r="F69" i="24" s="1"/>
  <c r="R137" i="24"/>
  <c r="R138" i="24" s="1"/>
  <c r="L218" i="24"/>
  <c r="Q218" i="24"/>
  <c r="Q219" i="24" s="1"/>
  <c r="F72" i="24"/>
  <c r="G87" i="24"/>
  <c r="L133" i="22"/>
  <c r="D133" i="27" s="1"/>
  <c r="O133" i="22"/>
  <c r="N156" i="22"/>
  <c r="R156" i="22" s="1"/>
  <c r="D156" i="26" s="1"/>
  <c r="R117" i="22"/>
  <c r="R130" i="22" s="1"/>
  <c r="R198" i="22"/>
  <c r="N203" i="22"/>
  <c r="N117" i="22"/>
  <c r="N130" i="22" s="1"/>
  <c r="J137" i="22"/>
  <c r="J138" i="22" s="1"/>
  <c r="J205" i="22" s="1"/>
  <c r="J218" i="22" s="1"/>
  <c r="J219" i="22" s="1"/>
  <c r="N146" i="22"/>
  <c r="R146" i="22" s="1"/>
  <c r="D146" i="26" s="1"/>
  <c r="F146" i="22"/>
  <c r="D146" i="28" s="1"/>
  <c r="N89" i="22"/>
  <c r="R5" i="22"/>
  <c r="N88" i="22"/>
  <c r="B137" i="22"/>
  <c r="B138" i="22" s="1"/>
  <c r="H87" i="22"/>
  <c r="L75" i="22"/>
  <c r="D75" i="27" s="1"/>
  <c r="F147" i="22"/>
  <c r="D147" i="28" s="1"/>
  <c r="N147" i="22"/>
  <c r="R147" i="22" s="1"/>
  <c r="D147" i="26" s="1"/>
  <c r="F132" i="22"/>
  <c r="D132" i="28" s="1"/>
  <c r="K205" i="22"/>
  <c r="K218" i="22" s="1"/>
  <c r="K219" i="22" s="1"/>
  <c r="F117" i="22"/>
  <c r="F130" i="22" s="1"/>
  <c r="F70" i="22" s="1"/>
  <c r="L117" i="22"/>
  <c r="L130" i="22" s="1"/>
  <c r="D165" i="22"/>
  <c r="F153" i="22"/>
  <c r="D153" i="28" s="1"/>
  <c r="P153" i="22"/>
  <c r="F162" i="22"/>
  <c r="D162" i="28" s="1"/>
  <c r="F144" i="22"/>
  <c r="D144" i="28" s="1"/>
  <c r="N144" i="22"/>
  <c r="R144" i="22" s="1"/>
  <c r="D144" i="26" s="1"/>
  <c r="H131" i="22"/>
  <c r="L132" i="22"/>
  <c r="D132" i="27" s="1"/>
  <c r="L198" i="22"/>
  <c r="H203" i="22"/>
  <c r="F155" i="22"/>
  <c r="B165" i="22"/>
  <c r="N155" i="22"/>
  <c r="F163" i="22"/>
  <c r="D163" i="28" s="1"/>
  <c r="L76" i="22"/>
  <c r="D76" i="27" s="1"/>
  <c r="N76" i="22"/>
  <c r="R76" i="22" s="1"/>
  <c r="D76" i="26" s="1"/>
  <c r="E90" i="22"/>
  <c r="E100" i="22" s="1"/>
  <c r="E87" i="22"/>
  <c r="Q77" i="22"/>
  <c r="F77" i="22"/>
  <c r="B150" i="22"/>
  <c r="F140" i="22"/>
  <c r="D140" i="28" s="1"/>
  <c r="N140" i="22"/>
  <c r="N145" i="22"/>
  <c r="R145" i="22" s="1"/>
  <c r="D145" i="26" s="1"/>
  <c r="F145" i="22"/>
  <c r="D145" i="28" s="1"/>
  <c r="H161" i="22"/>
  <c r="N161" i="22" s="1"/>
  <c r="R161" i="22" s="1"/>
  <c r="D161" i="26" s="1"/>
  <c r="H100" i="22"/>
  <c r="H163" i="22"/>
  <c r="L163" i="22" s="1"/>
  <c r="D163" i="27" s="1"/>
  <c r="H162" i="22"/>
  <c r="L162" i="22" s="1"/>
  <c r="D162" i="27" s="1"/>
  <c r="F161" i="22"/>
  <c r="D161" i="28" s="1"/>
  <c r="P132" i="22"/>
  <c r="N75" i="22"/>
  <c r="Q181" i="22"/>
  <c r="E190" i="22"/>
  <c r="F181" i="22"/>
  <c r="F190" i="22" s="1"/>
  <c r="F159" i="22"/>
  <c r="D159" i="28" s="1"/>
  <c r="N159" i="22"/>
  <c r="R159" i="22" s="1"/>
  <c r="D159" i="26" s="1"/>
  <c r="Q131" i="22"/>
  <c r="Q137" i="22" s="1"/>
  <c r="Q138" i="22" s="1"/>
  <c r="E137" i="22"/>
  <c r="E138" i="22" s="1"/>
  <c r="P131" i="22"/>
  <c r="D137" i="22"/>
  <c r="D138" i="22" s="1"/>
  <c r="D205" i="22" s="1"/>
  <c r="D218" i="22" s="1"/>
  <c r="D219" i="22" s="1"/>
  <c r="O26" i="19"/>
  <c r="P26" i="19"/>
  <c r="Q26" i="19"/>
  <c r="N26" i="19"/>
  <c r="N23" i="19"/>
  <c r="O23" i="19"/>
  <c r="P23" i="19"/>
  <c r="Q23" i="19"/>
  <c r="N24" i="19"/>
  <c r="O24" i="19"/>
  <c r="P24" i="19"/>
  <c r="Q24" i="19"/>
  <c r="O22" i="19"/>
  <c r="P22" i="19"/>
  <c r="Q22" i="19"/>
  <c r="N22" i="19"/>
  <c r="N29" i="19"/>
  <c r="O29" i="19"/>
  <c r="P29" i="19"/>
  <c r="Q29" i="19"/>
  <c r="N30" i="19"/>
  <c r="O30" i="19"/>
  <c r="P30" i="19"/>
  <c r="Q30" i="19"/>
  <c r="N31" i="19"/>
  <c r="O31" i="19"/>
  <c r="P31" i="19"/>
  <c r="Q31" i="19"/>
  <c r="R27" i="19"/>
  <c r="N32" i="19"/>
  <c r="O32" i="19"/>
  <c r="P32" i="19"/>
  <c r="Q32" i="19"/>
  <c r="N33" i="19"/>
  <c r="O33" i="19"/>
  <c r="P33" i="19"/>
  <c r="Q33" i="19"/>
  <c r="R33" i="19" s="1"/>
  <c r="C33" i="26" s="1"/>
  <c r="N34" i="19"/>
  <c r="O34" i="19"/>
  <c r="P34" i="19"/>
  <c r="Q34" i="19"/>
  <c r="N35" i="19"/>
  <c r="O35" i="19"/>
  <c r="P35" i="19"/>
  <c r="Q35" i="19"/>
  <c r="R35" i="19" s="1"/>
  <c r="C35" i="26" s="1"/>
  <c r="N36" i="19"/>
  <c r="O36" i="19"/>
  <c r="P36" i="19"/>
  <c r="Q36" i="19"/>
  <c r="N37" i="19"/>
  <c r="O37" i="19"/>
  <c r="P37" i="19"/>
  <c r="Q37" i="19"/>
  <c r="N38" i="19"/>
  <c r="O38" i="19"/>
  <c r="P38" i="19"/>
  <c r="Q38" i="19"/>
  <c r="R38" i="19" s="1"/>
  <c r="C38" i="26" s="1"/>
  <c r="N43" i="19"/>
  <c r="O43" i="19"/>
  <c r="P43" i="19"/>
  <c r="Q43" i="19"/>
  <c r="N44" i="19"/>
  <c r="O44" i="19"/>
  <c r="P44" i="19"/>
  <c r="Q44" i="19"/>
  <c r="N45" i="19"/>
  <c r="O45" i="19"/>
  <c r="P45" i="19"/>
  <c r="Q45" i="19"/>
  <c r="N46" i="19"/>
  <c r="O46" i="19"/>
  <c r="P46" i="19"/>
  <c r="Q46" i="19"/>
  <c r="N47" i="19"/>
  <c r="O47" i="19"/>
  <c r="P47" i="19"/>
  <c r="Q47" i="19"/>
  <c r="N48" i="19"/>
  <c r="O48" i="19"/>
  <c r="P48" i="19"/>
  <c r="Q48" i="19"/>
  <c r="N49" i="19"/>
  <c r="O49" i="19"/>
  <c r="P49" i="19"/>
  <c r="Q49" i="19"/>
  <c r="N50" i="19"/>
  <c r="O50" i="19"/>
  <c r="P50" i="19"/>
  <c r="Q50" i="19"/>
  <c r="N51" i="19"/>
  <c r="O51" i="19"/>
  <c r="P51" i="19"/>
  <c r="R51" i="19" s="1"/>
  <c r="C51" i="26" s="1"/>
  <c r="Q51" i="19"/>
  <c r="N52" i="19"/>
  <c r="O52" i="19"/>
  <c r="P52" i="19"/>
  <c r="Q52" i="19"/>
  <c r="N53" i="19"/>
  <c r="O53" i="19"/>
  <c r="P53" i="19"/>
  <c r="Q53" i="19"/>
  <c r="N54" i="19"/>
  <c r="O54" i="19"/>
  <c r="P54" i="19"/>
  <c r="Q54" i="19"/>
  <c r="N55" i="19"/>
  <c r="O55" i="19"/>
  <c r="P55" i="19"/>
  <c r="Q55" i="19"/>
  <c r="N56" i="19"/>
  <c r="O56" i="19"/>
  <c r="P56" i="19"/>
  <c r="Q56" i="19"/>
  <c r="N57" i="19"/>
  <c r="O57" i="19"/>
  <c r="P57" i="19"/>
  <c r="Q57" i="19"/>
  <c r="N58" i="19"/>
  <c r="O58" i="19"/>
  <c r="P58" i="19"/>
  <c r="Q58" i="19"/>
  <c r="N59" i="19"/>
  <c r="O59" i="19"/>
  <c r="P59" i="19"/>
  <c r="Q59" i="19"/>
  <c r="N60" i="19"/>
  <c r="O60" i="19"/>
  <c r="P60" i="19"/>
  <c r="Q60" i="19"/>
  <c r="N61" i="19"/>
  <c r="O61" i="19"/>
  <c r="O65" i="19" s="1"/>
  <c r="P61" i="19"/>
  <c r="Q61" i="19"/>
  <c r="N62" i="19"/>
  <c r="O62" i="19"/>
  <c r="P62" i="19"/>
  <c r="Q62" i="19"/>
  <c r="O42" i="19"/>
  <c r="O63" i="19" s="1"/>
  <c r="P42" i="19"/>
  <c r="Q42" i="19"/>
  <c r="Q63" i="19" s="1"/>
  <c r="N42" i="19"/>
  <c r="N86" i="19"/>
  <c r="N99" i="19" s="1"/>
  <c r="O86" i="19"/>
  <c r="P86" i="19"/>
  <c r="Q86" i="19"/>
  <c r="P76" i="19"/>
  <c r="Q76" i="19"/>
  <c r="P77" i="19"/>
  <c r="Q78" i="19"/>
  <c r="Q79" i="19"/>
  <c r="P80" i="19"/>
  <c r="Q80" i="19"/>
  <c r="P81" i="19"/>
  <c r="Q81" i="19"/>
  <c r="P82" i="19"/>
  <c r="P95" i="19" s="1"/>
  <c r="Q82" i="19"/>
  <c r="N83" i="19"/>
  <c r="O83" i="19"/>
  <c r="O96" i="19" s="1"/>
  <c r="P83" i="19"/>
  <c r="Q83" i="19"/>
  <c r="N84" i="19"/>
  <c r="N97" i="19" s="1"/>
  <c r="O84" i="19"/>
  <c r="O97" i="19" s="1"/>
  <c r="P84" i="19"/>
  <c r="P97" i="19" s="1"/>
  <c r="Q84" i="19"/>
  <c r="N85" i="19"/>
  <c r="O85" i="19"/>
  <c r="O98" i="19" s="1"/>
  <c r="P85" i="19"/>
  <c r="Q85" i="19"/>
  <c r="Q98" i="19" s="1"/>
  <c r="P75" i="19"/>
  <c r="Q75" i="19"/>
  <c r="N208" i="19"/>
  <c r="O208" i="19"/>
  <c r="P208" i="19"/>
  <c r="Q208" i="19"/>
  <c r="N209" i="19"/>
  <c r="O209" i="19"/>
  <c r="P209" i="19"/>
  <c r="Q209" i="19"/>
  <c r="N210" i="19"/>
  <c r="O210" i="19"/>
  <c r="R210" i="19" s="1"/>
  <c r="C210" i="26" s="1"/>
  <c r="P210" i="19"/>
  <c r="Q210" i="19"/>
  <c r="N211" i="19"/>
  <c r="O211" i="19"/>
  <c r="P211" i="19"/>
  <c r="Q211" i="19"/>
  <c r="N212" i="19"/>
  <c r="O212" i="19"/>
  <c r="P212" i="19"/>
  <c r="Q212" i="19"/>
  <c r="N213" i="19"/>
  <c r="O213" i="19"/>
  <c r="P213" i="19"/>
  <c r="Q213" i="19"/>
  <c r="N214" i="19"/>
  <c r="O214" i="19"/>
  <c r="P214" i="19"/>
  <c r="R214" i="19" s="1"/>
  <c r="C214" i="26" s="1"/>
  <c r="Q214" i="19"/>
  <c r="N215" i="19"/>
  <c r="O215" i="19"/>
  <c r="P215" i="19"/>
  <c r="Q215" i="19"/>
  <c r="N216" i="19"/>
  <c r="O216" i="19"/>
  <c r="P216" i="19"/>
  <c r="R216" i="19" s="1"/>
  <c r="Q216" i="19"/>
  <c r="N217" i="19"/>
  <c r="O217" i="19"/>
  <c r="P217" i="19"/>
  <c r="Q217" i="19"/>
  <c r="O207" i="19"/>
  <c r="P207" i="19"/>
  <c r="Q207" i="19"/>
  <c r="N207" i="19"/>
  <c r="N193" i="19"/>
  <c r="O193" i="19"/>
  <c r="P193" i="19"/>
  <c r="Q193" i="19"/>
  <c r="O194" i="19"/>
  <c r="P194" i="19"/>
  <c r="Q194" i="19"/>
  <c r="O195" i="19"/>
  <c r="P195" i="19"/>
  <c r="Q195" i="19"/>
  <c r="O196" i="19"/>
  <c r="P196" i="19"/>
  <c r="Q196" i="19"/>
  <c r="N197" i="19"/>
  <c r="O197" i="19"/>
  <c r="P197" i="19"/>
  <c r="Q197" i="19"/>
  <c r="O198" i="19"/>
  <c r="P198" i="19"/>
  <c r="Q198" i="19"/>
  <c r="N199" i="19"/>
  <c r="O199" i="19"/>
  <c r="P199" i="19"/>
  <c r="Q199" i="19"/>
  <c r="R199" i="19" s="1"/>
  <c r="O200" i="19"/>
  <c r="P200" i="19"/>
  <c r="Q200" i="19"/>
  <c r="N201" i="19"/>
  <c r="O201" i="19"/>
  <c r="P201" i="19"/>
  <c r="Q201" i="19"/>
  <c r="R201" i="19" s="1"/>
  <c r="O202" i="19"/>
  <c r="P202" i="19"/>
  <c r="Q202" i="19"/>
  <c r="O192" i="19"/>
  <c r="P192" i="19"/>
  <c r="Q192" i="19"/>
  <c r="N182" i="19"/>
  <c r="O182" i="19"/>
  <c r="P182" i="19"/>
  <c r="Q182" i="19"/>
  <c r="N183" i="19"/>
  <c r="O183" i="19"/>
  <c r="P183" i="19"/>
  <c r="Q183" i="19"/>
  <c r="O184" i="19"/>
  <c r="P184" i="19"/>
  <c r="Q184" i="19"/>
  <c r="N185" i="19"/>
  <c r="O185" i="19"/>
  <c r="P185" i="19"/>
  <c r="Q185" i="19"/>
  <c r="N186" i="19"/>
  <c r="O186" i="19"/>
  <c r="P186" i="19"/>
  <c r="Q186" i="19"/>
  <c r="R186" i="19" s="1"/>
  <c r="N187" i="19"/>
  <c r="O187" i="19"/>
  <c r="P187" i="19"/>
  <c r="Q187" i="19"/>
  <c r="N188" i="19"/>
  <c r="O188" i="19"/>
  <c r="P188" i="19"/>
  <c r="Q188" i="19"/>
  <c r="R188" i="19" s="1"/>
  <c r="N189" i="19"/>
  <c r="O189" i="19"/>
  <c r="P189" i="19"/>
  <c r="Q189" i="19"/>
  <c r="O181" i="19"/>
  <c r="P181" i="19"/>
  <c r="N177" i="19"/>
  <c r="O177" i="19"/>
  <c r="P177" i="19"/>
  <c r="Q177" i="19"/>
  <c r="N178" i="19"/>
  <c r="O178" i="19"/>
  <c r="P178" i="19"/>
  <c r="Q178" i="19"/>
  <c r="Q179" i="19" s="1"/>
  <c r="O176" i="19"/>
  <c r="O179" i="19" s="1"/>
  <c r="P176" i="19"/>
  <c r="Q176" i="19"/>
  <c r="N176" i="19"/>
  <c r="O168" i="19"/>
  <c r="P168" i="19"/>
  <c r="Q168" i="19"/>
  <c r="N169" i="19"/>
  <c r="R169" i="19" s="1"/>
  <c r="O169" i="19"/>
  <c r="P169" i="19"/>
  <c r="Q169" i="19"/>
  <c r="N170" i="19"/>
  <c r="R170" i="19" s="1"/>
  <c r="C170" i="26" s="1"/>
  <c r="O170" i="19"/>
  <c r="P170" i="19"/>
  <c r="Q170" i="19"/>
  <c r="N171" i="19"/>
  <c r="R171" i="19" s="1"/>
  <c r="O171" i="19"/>
  <c r="P171" i="19"/>
  <c r="Q171" i="19"/>
  <c r="N172" i="19"/>
  <c r="R172" i="19" s="1"/>
  <c r="O172" i="19"/>
  <c r="P172" i="19"/>
  <c r="Q172" i="19"/>
  <c r="N173" i="19"/>
  <c r="R173" i="19" s="1"/>
  <c r="O173" i="19"/>
  <c r="P173" i="19"/>
  <c r="Q173" i="19"/>
  <c r="O167" i="19"/>
  <c r="P167" i="19"/>
  <c r="Q167" i="19"/>
  <c r="N153" i="19"/>
  <c r="O153" i="19"/>
  <c r="Q153" i="19"/>
  <c r="N154" i="19"/>
  <c r="O154" i="19"/>
  <c r="P154" i="19"/>
  <c r="Q154" i="19"/>
  <c r="O155" i="19"/>
  <c r="P155" i="19"/>
  <c r="Q155" i="19"/>
  <c r="O156" i="19"/>
  <c r="P156" i="19"/>
  <c r="Q156" i="19"/>
  <c r="N157" i="19"/>
  <c r="O157" i="19"/>
  <c r="P157" i="19"/>
  <c r="Q157" i="19"/>
  <c r="N158" i="19"/>
  <c r="O158" i="19"/>
  <c r="P158" i="19"/>
  <c r="Q158" i="19"/>
  <c r="O159" i="19"/>
  <c r="P159" i="19"/>
  <c r="Q159" i="19"/>
  <c r="N160" i="19"/>
  <c r="R160" i="19" s="1"/>
  <c r="C160" i="26" s="1"/>
  <c r="B65" i="34" s="1"/>
  <c r="C65" i="34" s="1"/>
  <c r="O160" i="19"/>
  <c r="P160" i="19"/>
  <c r="Q160" i="19"/>
  <c r="O161" i="19"/>
  <c r="P161" i="19"/>
  <c r="Q161" i="19"/>
  <c r="O162" i="19"/>
  <c r="P162" i="19"/>
  <c r="Q162" i="19"/>
  <c r="O163" i="19"/>
  <c r="P163" i="19"/>
  <c r="Q163" i="19"/>
  <c r="N164" i="19"/>
  <c r="O164" i="19"/>
  <c r="P164" i="19"/>
  <c r="Q164" i="19"/>
  <c r="O152" i="19"/>
  <c r="P152" i="19"/>
  <c r="Q152" i="19"/>
  <c r="N152" i="19"/>
  <c r="N141" i="19"/>
  <c r="O141" i="19"/>
  <c r="P141" i="19"/>
  <c r="Q141" i="19"/>
  <c r="R141" i="19" s="1"/>
  <c r="N142" i="19"/>
  <c r="O142" i="19"/>
  <c r="P142" i="19"/>
  <c r="Q142" i="19"/>
  <c r="N143" i="19"/>
  <c r="O143" i="19"/>
  <c r="P143" i="19"/>
  <c r="Q143" i="19"/>
  <c r="R143" i="19" s="1"/>
  <c r="P144" i="19"/>
  <c r="Q144" i="19"/>
  <c r="O145" i="19"/>
  <c r="P145" i="19"/>
  <c r="Q145" i="19"/>
  <c r="P146" i="19"/>
  <c r="Q146" i="19"/>
  <c r="P147" i="19"/>
  <c r="Q147" i="19"/>
  <c r="Q148" i="19"/>
  <c r="N149" i="19"/>
  <c r="O149" i="19"/>
  <c r="P149" i="19"/>
  <c r="Q149" i="19"/>
  <c r="O140" i="19"/>
  <c r="P140" i="19"/>
  <c r="Q140" i="19"/>
  <c r="N134" i="19"/>
  <c r="O134" i="19"/>
  <c r="P134" i="19"/>
  <c r="Q134" i="19"/>
  <c r="O135" i="19"/>
  <c r="P135" i="19"/>
  <c r="Q135" i="19"/>
  <c r="N120" i="19"/>
  <c r="O120" i="19"/>
  <c r="P120" i="19"/>
  <c r="R120" i="19" s="1"/>
  <c r="Q120" i="19"/>
  <c r="N121" i="19"/>
  <c r="O121" i="19"/>
  <c r="P121" i="19"/>
  <c r="Q121" i="19"/>
  <c r="N122" i="19"/>
  <c r="O122" i="19"/>
  <c r="P122" i="19"/>
  <c r="Q122" i="19"/>
  <c r="N123" i="19"/>
  <c r="O123" i="19"/>
  <c r="P123" i="19"/>
  <c r="Q123" i="19"/>
  <c r="N124" i="19"/>
  <c r="O124" i="19"/>
  <c r="P124" i="19"/>
  <c r="R124" i="19" s="1"/>
  <c r="Q124" i="19"/>
  <c r="N125" i="19"/>
  <c r="P125" i="19"/>
  <c r="Q125" i="19"/>
  <c r="N126" i="19"/>
  <c r="O126" i="19"/>
  <c r="P126" i="19"/>
  <c r="Q126" i="19"/>
  <c r="N127" i="19"/>
  <c r="P127" i="19"/>
  <c r="O128" i="19"/>
  <c r="P128" i="19"/>
  <c r="Q128" i="19"/>
  <c r="O119" i="19"/>
  <c r="P119" i="19"/>
  <c r="Q119" i="19"/>
  <c r="N119" i="19"/>
  <c r="O105" i="19"/>
  <c r="P105" i="19"/>
  <c r="Q105" i="19"/>
  <c r="O106" i="19"/>
  <c r="P106" i="19"/>
  <c r="Q106" i="19"/>
  <c r="N107" i="19"/>
  <c r="O107" i="19"/>
  <c r="P107" i="19"/>
  <c r="Q107" i="19"/>
  <c r="O108" i="19"/>
  <c r="P108" i="19"/>
  <c r="Q108" i="19"/>
  <c r="O109" i="19"/>
  <c r="P109" i="19"/>
  <c r="Q109" i="19"/>
  <c r="Q117" i="19" s="1"/>
  <c r="N110" i="19"/>
  <c r="O110" i="19"/>
  <c r="P110" i="19"/>
  <c r="Q110" i="19"/>
  <c r="O111" i="19"/>
  <c r="Q111" i="19"/>
  <c r="N112" i="19"/>
  <c r="R112" i="19" s="1"/>
  <c r="C112" i="26" s="1"/>
  <c r="B27" i="34" s="1"/>
  <c r="E27" i="34" s="1"/>
  <c r="O112" i="19"/>
  <c r="P112" i="19"/>
  <c r="Q112" i="19"/>
  <c r="O113" i="19"/>
  <c r="P113" i="19"/>
  <c r="Q113" i="19"/>
  <c r="Q114" i="19"/>
  <c r="O115" i="19"/>
  <c r="P115" i="19"/>
  <c r="Q115" i="19"/>
  <c r="P116" i="19"/>
  <c r="Q116" i="19"/>
  <c r="O104" i="19"/>
  <c r="P104" i="19"/>
  <c r="Q104" i="19"/>
  <c r="N108" i="19"/>
  <c r="R108" i="19" s="1"/>
  <c r="C108" i="26" s="1"/>
  <c r="B24" i="34" s="1"/>
  <c r="F24" i="34" s="1"/>
  <c r="H135" i="19"/>
  <c r="H112" i="19"/>
  <c r="L112" i="19" s="1"/>
  <c r="L157" i="19"/>
  <c r="L221" i="19"/>
  <c r="K221" i="19"/>
  <c r="J221" i="19"/>
  <c r="I221" i="19"/>
  <c r="H221" i="19"/>
  <c r="L216" i="19"/>
  <c r="L215" i="19"/>
  <c r="L214" i="19"/>
  <c r="L213" i="19"/>
  <c r="C213" i="27" s="1"/>
  <c r="L212" i="19"/>
  <c r="C212" i="27" s="1"/>
  <c r="L211" i="19"/>
  <c r="C211" i="27" s="1"/>
  <c r="L210" i="19"/>
  <c r="C210" i="27" s="1"/>
  <c r="L209" i="19"/>
  <c r="C209" i="27" s="1"/>
  <c r="C229" i="27" s="1"/>
  <c r="C231" i="27" s="1"/>
  <c r="L208" i="19"/>
  <c r="L207" i="19"/>
  <c r="K203" i="19"/>
  <c r="J203" i="19"/>
  <c r="I203" i="19"/>
  <c r="H202" i="19"/>
  <c r="L202" i="19" s="1"/>
  <c r="L201" i="19"/>
  <c r="L200" i="19"/>
  <c r="L199" i="19"/>
  <c r="L197" i="19"/>
  <c r="H196" i="19"/>
  <c r="L196" i="19" s="1"/>
  <c r="L195" i="19"/>
  <c r="H194" i="19"/>
  <c r="L194" i="19" s="1"/>
  <c r="L193" i="19"/>
  <c r="L192" i="19"/>
  <c r="J190" i="19"/>
  <c r="I190" i="19"/>
  <c r="L189" i="19"/>
  <c r="L188" i="19"/>
  <c r="L187" i="19"/>
  <c r="L186" i="19"/>
  <c r="L185" i="19"/>
  <c r="H184" i="19"/>
  <c r="L184" i="19" s="1"/>
  <c r="L183" i="19"/>
  <c r="L182" i="19"/>
  <c r="L180" i="19"/>
  <c r="L191" i="19" s="1"/>
  <c r="K180" i="19"/>
  <c r="K191" i="19" s="1"/>
  <c r="J180" i="19"/>
  <c r="J191" i="19" s="1"/>
  <c r="I180" i="19"/>
  <c r="I191" i="19" s="1"/>
  <c r="H180" i="19"/>
  <c r="H191" i="19" s="1"/>
  <c r="K179" i="19"/>
  <c r="J179" i="19"/>
  <c r="I179" i="19"/>
  <c r="H179" i="19"/>
  <c r="L177" i="19"/>
  <c r="L176" i="19"/>
  <c r="K174" i="19"/>
  <c r="J174" i="19"/>
  <c r="I174" i="19"/>
  <c r="H173" i="19"/>
  <c r="L172" i="19"/>
  <c r="L171" i="19"/>
  <c r="L170" i="19"/>
  <c r="L169" i="19"/>
  <c r="H168" i="19"/>
  <c r="L168" i="19" s="1"/>
  <c r="L167" i="19"/>
  <c r="H166" i="19"/>
  <c r="K165" i="19"/>
  <c r="I165" i="19"/>
  <c r="L160" i="19"/>
  <c r="L158" i="19"/>
  <c r="L154" i="19"/>
  <c r="L152" i="19"/>
  <c r="C152" i="27" s="1"/>
  <c r="B55" i="33" s="1"/>
  <c r="K55" i="33" s="1"/>
  <c r="P55" i="33" s="1"/>
  <c r="D55" i="33" s="1"/>
  <c r="C55" i="33" s="1"/>
  <c r="L151" i="19"/>
  <c r="L166" i="19" s="1"/>
  <c r="K151" i="19"/>
  <c r="K166" i="19" s="1"/>
  <c r="J151" i="19"/>
  <c r="J166" i="19" s="1"/>
  <c r="I151" i="19"/>
  <c r="I166" i="19" s="1"/>
  <c r="H151" i="19"/>
  <c r="K150" i="19"/>
  <c r="J150" i="19"/>
  <c r="I150" i="19"/>
  <c r="L143" i="19"/>
  <c r="L142" i="19"/>
  <c r="L141" i="19"/>
  <c r="L139" i="19"/>
  <c r="K139" i="19"/>
  <c r="J139" i="19"/>
  <c r="I139" i="19"/>
  <c r="H139" i="19"/>
  <c r="L135" i="19"/>
  <c r="H128" i="19"/>
  <c r="H129" i="19" s="1"/>
  <c r="K129" i="19"/>
  <c r="I127" i="19"/>
  <c r="L127" i="19" s="1"/>
  <c r="L126" i="19"/>
  <c r="L125" i="19"/>
  <c r="L124" i="19"/>
  <c r="L123" i="19"/>
  <c r="L122" i="19"/>
  <c r="L121" i="19"/>
  <c r="J129" i="19"/>
  <c r="L120" i="19"/>
  <c r="L119" i="19"/>
  <c r="L118" i="19"/>
  <c r="K118" i="19"/>
  <c r="J118" i="19"/>
  <c r="I118" i="19"/>
  <c r="H118" i="19"/>
  <c r="K117" i="19"/>
  <c r="K130" i="19" s="1"/>
  <c r="I116" i="19"/>
  <c r="H116" i="19"/>
  <c r="H115" i="19"/>
  <c r="L115" i="19" s="1"/>
  <c r="J114" i="19"/>
  <c r="I114" i="19"/>
  <c r="H114" i="19"/>
  <c r="H113" i="19"/>
  <c r="L113" i="19" s="1"/>
  <c r="H111" i="19"/>
  <c r="L110" i="19"/>
  <c r="L108" i="19"/>
  <c r="L107" i="19"/>
  <c r="L105" i="19"/>
  <c r="L104" i="19"/>
  <c r="L102" i="19"/>
  <c r="K102" i="19"/>
  <c r="J102" i="19"/>
  <c r="I102" i="19"/>
  <c r="H102" i="19"/>
  <c r="K99" i="19"/>
  <c r="J99" i="19"/>
  <c r="I99" i="19"/>
  <c r="H99" i="19"/>
  <c r="K98" i="19"/>
  <c r="J98" i="19"/>
  <c r="I98" i="19"/>
  <c r="H98" i="19"/>
  <c r="K97" i="19"/>
  <c r="J97" i="19"/>
  <c r="I97" i="19"/>
  <c r="H97" i="19"/>
  <c r="K96" i="19"/>
  <c r="J96" i="19"/>
  <c r="I96" i="19"/>
  <c r="H96" i="19"/>
  <c r="K95" i="19"/>
  <c r="J95" i="19"/>
  <c r="K94" i="19"/>
  <c r="J94" i="19"/>
  <c r="K93" i="19"/>
  <c r="J93" i="19"/>
  <c r="K92" i="19"/>
  <c r="K91" i="19"/>
  <c r="H91" i="19"/>
  <c r="J90" i="19"/>
  <c r="K89" i="19"/>
  <c r="J89" i="19"/>
  <c r="L89" i="19" s="1"/>
  <c r="I89" i="19"/>
  <c r="K88" i="19"/>
  <c r="J88" i="19"/>
  <c r="I88" i="19"/>
  <c r="L86" i="19"/>
  <c r="L99" i="19" s="1"/>
  <c r="L85" i="19"/>
  <c r="L98" i="19" s="1"/>
  <c r="L84" i="19"/>
  <c r="L97" i="19" s="1"/>
  <c r="L83" i="19"/>
  <c r="L96" i="19" s="1"/>
  <c r="I82" i="19"/>
  <c r="I95" i="19" s="1"/>
  <c r="H82" i="19"/>
  <c r="I81" i="19"/>
  <c r="I94" i="19" s="1"/>
  <c r="H81" i="19"/>
  <c r="H94" i="19" s="1"/>
  <c r="I80" i="19"/>
  <c r="I93" i="19" s="1"/>
  <c r="H80" i="19"/>
  <c r="H93" i="19" s="1"/>
  <c r="J92" i="19"/>
  <c r="I79" i="19"/>
  <c r="I92" i="19" s="1"/>
  <c r="H79" i="19"/>
  <c r="L79" i="19" s="1"/>
  <c r="L92" i="19" s="1"/>
  <c r="J78" i="19"/>
  <c r="J91" i="19" s="1"/>
  <c r="I78" i="19"/>
  <c r="I91" i="19" s="1"/>
  <c r="H78" i="19"/>
  <c r="I77" i="19"/>
  <c r="I90" i="19" s="1"/>
  <c r="H77" i="19"/>
  <c r="I76" i="19"/>
  <c r="I75" i="19"/>
  <c r="K74" i="19"/>
  <c r="I74" i="19"/>
  <c r="H74" i="19"/>
  <c r="K65" i="19"/>
  <c r="I65" i="19"/>
  <c r="K66" i="19"/>
  <c r="J66" i="19"/>
  <c r="I66" i="19"/>
  <c r="H66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2" i="19"/>
  <c r="K39" i="19"/>
  <c r="J39" i="19"/>
  <c r="I39" i="19"/>
  <c r="H39" i="19"/>
  <c r="L38" i="19"/>
  <c r="L37" i="19"/>
  <c r="L36" i="19"/>
  <c r="L35" i="19"/>
  <c r="L34" i="19"/>
  <c r="L33" i="19"/>
  <c r="L32" i="19"/>
  <c r="L31" i="19"/>
  <c r="L30" i="19"/>
  <c r="C30" i="27" s="1"/>
  <c r="L29" i="19"/>
  <c r="L27" i="19"/>
  <c r="L26" i="19"/>
  <c r="L25" i="19"/>
  <c r="C25" i="27" s="1"/>
  <c r="L24" i="19"/>
  <c r="L23" i="19"/>
  <c r="L22" i="19"/>
  <c r="C22" i="27" s="1"/>
  <c r="L18" i="19"/>
  <c r="L17" i="19"/>
  <c r="L16" i="19"/>
  <c r="L15" i="19"/>
  <c r="L14" i="19"/>
  <c r="L13" i="19"/>
  <c r="L12" i="19"/>
  <c r="C12" i="27" s="1"/>
  <c r="D44" i="31" s="1"/>
  <c r="L11" i="19"/>
  <c r="C11" i="27" s="1"/>
  <c r="D43" i="31" s="1"/>
  <c r="L10" i="19"/>
  <c r="C10" i="27" s="1"/>
  <c r="D42" i="31" s="1"/>
  <c r="L9" i="19"/>
  <c r="C9" i="27" s="1"/>
  <c r="D41" i="31" s="1"/>
  <c r="H8" i="19"/>
  <c r="L8" i="19" s="1"/>
  <c r="H7" i="19"/>
  <c r="L7" i="19" s="1"/>
  <c r="H6" i="19"/>
  <c r="L3" i="19"/>
  <c r="L2" i="19"/>
  <c r="B202" i="19"/>
  <c r="N202" i="19" s="1"/>
  <c r="N200" i="19"/>
  <c r="N196" i="19"/>
  <c r="N195" i="19"/>
  <c r="R195" i="19" s="1"/>
  <c r="C195" i="26" s="1"/>
  <c r="B90" i="34" s="1"/>
  <c r="F90" i="34" s="1"/>
  <c r="N194" i="19"/>
  <c r="N192" i="19"/>
  <c r="B173" i="19"/>
  <c r="B172" i="19"/>
  <c r="N168" i="19"/>
  <c r="R168" i="19" s="1"/>
  <c r="C168" i="26" s="1"/>
  <c r="B70" i="34" s="1"/>
  <c r="F70" i="34" s="1"/>
  <c r="N167" i="19"/>
  <c r="B128" i="19"/>
  <c r="N128" i="19" s="1"/>
  <c r="N129" i="19" s="1"/>
  <c r="Q127" i="19"/>
  <c r="O125" i="19"/>
  <c r="N115" i="19"/>
  <c r="R115" i="19" s="1"/>
  <c r="C115" i="26" s="1"/>
  <c r="B30" i="34" s="1"/>
  <c r="E30" i="34" s="1"/>
  <c r="P114" i="19"/>
  <c r="N113" i="19"/>
  <c r="R113" i="19" s="1"/>
  <c r="C113" i="26" s="1"/>
  <c r="B28" i="34" s="1"/>
  <c r="F28" i="34" s="1"/>
  <c r="N106" i="19"/>
  <c r="R106" i="19" s="1"/>
  <c r="C106" i="26" s="1"/>
  <c r="B22" i="34" s="1"/>
  <c r="E22" i="34" s="1"/>
  <c r="N105" i="19"/>
  <c r="N104" i="19"/>
  <c r="R104" i="19" s="1"/>
  <c r="C104" i="26" s="1"/>
  <c r="B20" i="34" s="1"/>
  <c r="E20" i="34" s="1"/>
  <c r="F20" i="34" s="1"/>
  <c r="G20" i="34" s="1"/>
  <c r="H20" i="34" s="1"/>
  <c r="I20" i="34" s="1"/>
  <c r="J20" i="34" s="1"/>
  <c r="K20" i="34" s="1"/>
  <c r="L20" i="34" s="1"/>
  <c r="M20" i="34" s="1"/>
  <c r="N20" i="34" s="1"/>
  <c r="D78" i="19"/>
  <c r="D79" i="19"/>
  <c r="P79" i="19" s="1"/>
  <c r="P92" i="19" s="1"/>
  <c r="C82" i="19"/>
  <c r="C81" i="19"/>
  <c r="O81" i="19" s="1"/>
  <c r="O94" i="19" s="1"/>
  <c r="C80" i="19"/>
  <c r="O80" i="19" s="1"/>
  <c r="N13" i="19"/>
  <c r="E7" i="20"/>
  <c r="C6" i="20"/>
  <c r="C7" i="20" s="1"/>
  <c r="D6" i="20"/>
  <c r="D7" i="20" s="1"/>
  <c r="E6" i="20"/>
  <c r="F6" i="20"/>
  <c r="F7" i="20" s="1"/>
  <c r="B6" i="20"/>
  <c r="B7" i="20" s="1"/>
  <c r="R221" i="19"/>
  <c r="Q221" i="19"/>
  <c r="P221" i="19"/>
  <c r="O221" i="19"/>
  <c r="N221" i="19"/>
  <c r="P190" i="19"/>
  <c r="R183" i="19"/>
  <c r="R180" i="19"/>
  <c r="R191" i="19" s="1"/>
  <c r="Q180" i="19"/>
  <c r="Q191" i="19" s="1"/>
  <c r="P180" i="19"/>
  <c r="P191" i="19" s="1"/>
  <c r="O180" i="19"/>
  <c r="O191" i="19" s="1"/>
  <c r="N180" i="19"/>
  <c r="N191" i="19" s="1"/>
  <c r="P179" i="19"/>
  <c r="R177" i="19"/>
  <c r="C177" i="26" s="1"/>
  <c r="B77" i="34" s="1"/>
  <c r="R151" i="19"/>
  <c r="R166" i="19" s="1"/>
  <c r="Q151" i="19"/>
  <c r="Q166" i="19" s="1"/>
  <c r="P151" i="19"/>
  <c r="P166" i="19" s="1"/>
  <c r="O151" i="19"/>
  <c r="O166" i="19" s="1"/>
  <c r="N151" i="19"/>
  <c r="N166" i="19" s="1"/>
  <c r="R139" i="19"/>
  <c r="Q139" i="19"/>
  <c r="P139" i="19"/>
  <c r="O139" i="19"/>
  <c r="N139" i="19"/>
  <c r="R122" i="19"/>
  <c r="R118" i="19"/>
  <c r="Q118" i="19"/>
  <c r="P118" i="19"/>
  <c r="O118" i="19"/>
  <c r="N118" i="19"/>
  <c r="R102" i="19"/>
  <c r="Q102" i="19"/>
  <c r="P102" i="19"/>
  <c r="O102" i="19"/>
  <c r="N102" i="19"/>
  <c r="Q99" i="19"/>
  <c r="P99" i="19"/>
  <c r="O99" i="19"/>
  <c r="P98" i="19"/>
  <c r="N98" i="19"/>
  <c r="Q97" i="19"/>
  <c r="Q96" i="19"/>
  <c r="P96" i="19"/>
  <c r="N96" i="19"/>
  <c r="Q95" i="19"/>
  <c r="Q94" i="19"/>
  <c r="P94" i="19"/>
  <c r="Q93" i="19"/>
  <c r="P93" i="19"/>
  <c r="Q92" i="19"/>
  <c r="Q91" i="19"/>
  <c r="P90" i="19"/>
  <c r="Q89" i="19"/>
  <c r="P89" i="19"/>
  <c r="R89" i="19" s="1"/>
  <c r="O89" i="19"/>
  <c r="Q88" i="19"/>
  <c r="P88" i="19"/>
  <c r="O88" i="19"/>
  <c r="Q74" i="19"/>
  <c r="O74" i="19"/>
  <c r="N74" i="19"/>
  <c r="R59" i="19"/>
  <c r="C59" i="26" s="1"/>
  <c r="R37" i="19"/>
  <c r="C37" i="26" s="1"/>
  <c r="R18" i="19"/>
  <c r="C18" i="26" s="1"/>
  <c r="R17" i="19"/>
  <c r="C17" i="26" s="1"/>
  <c r="R16" i="19"/>
  <c r="C16" i="26" s="1"/>
  <c r="R15" i="19"/>
  <c r="C15" i="26" s="1"/>
  <c r="R14" i="19"/>
  <c r="C14" i="26" s="1"/>
  <c r="R13" i="19"/>
  <c r="C13" i="26" s="1"/>
  <c r="R3" i="19"/>
  <c r="R2" i="19"/>
  <c r="C2" i="26" s="1"/>
  <c r="K2" i="26" s="1"/>
  <c r="B11" i="20"/>
  <c r="E11" i="20" s="1"/>
  <c r="E12" i="20" s="1"/>
  <c r="E13" i="20" s="1"/>
  <c r="E8" i="20"/>
  <c r="E9" i="20" s="1"/>
  <c r="D8" i="20"/>
  <c r="D9" i="20" s="1"/>
  <c r="C8" i="20"/>
  <c r="C9" i="20" s="1"/>
  <c r="B8" i="20"/>
  <c r="B9" i="20" s="1"/>
  <c r="F90" i="22" l="1"/>
  <c r="D90" i="28" s="1"/>
  <c r="D100" i="28" s="1"/>
  <c r="D77" i="28"/>
  <c r="D87" i="28" s="1"/>
  <c r="D72" i="28" s="1"/>
  <c r="G70" i="34"/>
  <c r="H70" i="34" s="1"/>
  <c r="I70" i="34" s="1"/>
  <c r="J70" i="34" s="1"/>
  <c r="K70" i="34" s="1"/>
  <c r="L70" i="34" s="1"/>
  <c r="M70" i="34" s="1"/>
  <c r="N70" i="34" s="1"/>
  <c r="O70" i="34" s="1"/>
  <c r="P70" i="34" s="1"/>
  <c r="B72" i="34"/>
  <c r="E72" i="34" s="1"/>
  <c r="G90" i="34"/>
  <c r="H90" i="34" s="1"/>
  <c r="I90" i="34" s="1"/>
  <c r="J90" i="34" s="1"/>
  <c r="K90" i="34" s="1"/>
  <c r="L90" i="34" s="1"/>
  <c r="M90" i="34" s="1"/>
  <c r="N90" i="34" s="1"/>
  <c r="O90" i="34" s="1"/>
  <c r="P90" i="34" s="1"/>
  <c r="R193" i="19"/>
  <c r="C193" i="26" s="1"/>
  <c r="B88" i="34" s="1"/>
  <c r="F88" i="34" s="1"/>
  <c r="G88" i="34" s="1"/>
  <c r="H88" i="34" s="1"/>
  <c r="I88" i="34" s="1"/>
  <c r="J88" i="34" s="1"/>
  <c r="K88" i="34" s="1"/>
  <c r="L88" i="34" s="1"/>
  <c r="M88" i="34" s="1"/>
  <c r="N88" i="34" s="1"/>
  <c r="O88" i="34" s="1"/>
  <c r="P88" i="34" s="1"/>
  <c r="D88" i="34" s="1"/>
  <c r="C88" i="34" s="1"/>
  <c r="E69" i="28"/>
  <c r="K77" i="34"/>
  <c r="G77" i="34"/>
  <c r="D77" i="34" s="1"/>
  <c r="C77" i="34" s="1"/>
  <c r="D150" i="28"/>
  <c r="R133" i="22"/>
  <c r="D133" i="26" s="1"/>
  <c r="F30" i="34"/>
  <c r="G30" i="34" s="1"/>
  <c r="H30" i="34" s="1"/>
  <c r="I30" i="34" s="1"/>
  <c r="J30" i="34" s="1"/>
  <c r="K30" i="34" s="1"/>
  <c r="L30" i="34" s="1"/>
  <c r="M30" i="34" s="1"/>
  <c r="N30" i="34" s="1"/>
  <c r="O30" i="34" s="1"/>
  <c r="P30" i="34" s="1"/>
  <c r="F27" i="34"/>
  <c r="G27" i="34" s="1"/>
  <c r="H27" i="34" s="1"/>
  <c r="I27" i="34" s="1"/>
  <c r="J27" i="34" s="1"/>
  <c r="K27" i="34" s="1"/>
  <c r="L27" i="34" s="1"/>
  <c r="M27" i="34" s="1"/>
  <c r="N27" i="34" s="1"/>
  <c r="O27" i="34" s="1"/>
  <c r="P27" i="34" s="1"/>
  <c r="G219" i="26"/>
  <c r="D24" i="34"/>
  <c r="C24" i="34" s="1"/>
  <c r="G24" i="34"/>
  <c r="H24" i="34" s="1"/>
  <c r="I24" i="34" s="1"/>
  <c r="J24" i="34" s="1"/>
  <c r="K24" i="34" s="1"/>
  <c r="L24" i="34" s="1"/>
  <c r="M24" i="34" s="1"/>
  <c r="N24" i="34" s="1"/>
  <c r="O24" i="34" s="1"/>
  <c r="P24" i="34" s="1"/>
  <c r="F22" i="34"/>
  <c r="G22" i="34" s="1"/>
  <c r="H22" i="34" s="1"/>
  <c r="I22" i="34" s="1"/>
  <c r="J22" i="34" s="1"/>
  <c r="K22" i="34" s="1"/>
  <c r="L22" i="34" s="1"/>
  <c r="M22" i="34" s="1"/>
  <c r="N22" i="34" s="1"/>
  <c r="O22" i="34" s="1"/>
  <c r="P22" i="34" s="1"/>
  <c r="D22" i="34"/>
  <c r="C22" i="34" s="1"/>
  <c r="R208" i="19"/>
  <c r="C208" i="26" s="1"/>
  <c r="B100" i="34" s="1"/>
  <c r="C100" i="34" s="1"/>
  <c r="G28" i="34"/>
  <c r="H28" i="34" s="1"/>
  <c r="I28" i="34" s="1"/>
  <c r="J28" i="34" s="1"/>
  <c r="K28" i="34" s="1"/>
  <c r="L28" i="34" s="1"/>
  <c r="M28" i="34" s="1"/>
  <c r="N28" i="34" s="1"/>
  <c r="O28" i="34" s="1"/>
  <c r="P28" i="34" s="1"/>
  <c r="P63" i="19"/>
  <c r="R47" i="19"/>
  <c r="C47" i="26" s="1"/>
  <c r="R46" i="19"/>
  <c r="C46" i="26" s="1"/>
  <c r="R44" i="19"/>
  <c r="C44" i="26" s="1"/>
  <c r="R42" i="19"/>
  <c r="C42" i="26" s="1"/>
  <c r="R60" i="19"/>
  <c r="C60" i="26" s="1"/>
  <c r="D79" i="30" s="1"/>
  <c r="R57" i="19"/>
  <c r="C57" i="26" s="1"/>
  <c r="D12" i="35" s="1"/>
  <c r="R56" i="19"/>
  <c r="C56" i="26" s="1"/>
  <c r="R52" i="19"/>
  <c r="C52" i="26" s="1"/>
  <c r="R49" i="19"/>
  <c r="C49" i="26" s="1"/>
  <c r="R48" i="19"/>
  <c r="C48" i="26" s="1"/>
  <c r="R43" i="19"/>
  <c r="C43" i="26" s="1"/>
  <c r="R30" i="19"/>
  <c r="C30" i="26" s="1"/>
  <c r="D11" i="35" s="1"/>
  <c r="R32" i="19"/>
  <c r="C32" i="26" s="1"/>
  <c r="G238" i="26"/>
  <c r="C2" i="27"/>
  <c r="J2" i="27" s="1"/>
  <c r="C2" i="28"/>
  <c r="K2" i="28" s="1"/>
  <c r="D165" i="28"/>
  <c r="D47" i="29"/>
  <c r="D47" i="31"/>
  <c r="J13" i="26"/>
  <c r="D45" i="29"/>
  <c r="D49" i="31"/>
  <c r="D49" i="29"/>
  <c r="J14" i="26"/>
  <c r="D46" i="29"/>
  <c r="D50" i="29"/>
  <c r="D50" i="31"/>
  <c r="D48" i="31"/>
  <c r="D48" i="29"/>
  <c r="D37" i="30"/>
  <c r="D33" i="35"/>
  <c r="D7" i="35"/>
  <c r="O20" i="34"/>
  <c r="G259" i="26"/>
  <c r="D64" i="31"/>
  <c r="D20" i="31"/>
  <c r="D51" i="31"/>
  <c r="J51" i="31" s="1"/>
  <c r="D21" i="31"/>
  <c r="D65" i="31"/>
  <c r="D66" i="31"/>
  <c r="D22" i="31"/>
  <c r="D67" i="31"/>
  <c r="D23" i="31"/>
  <c r="O19" i="33"/>
  <c r="D70" i="27"/>
  <c r="E42" i="35"/>
  <c r="J110" i="27"/>
  <c r="F219" i="27"/>
  <c r="F238" i="27"/>
  <c r="F259" i="27"/>
  <c r="E219" i="27"/>
  <c r="E238" i="27"/>
  <c r="E259" i="27"/>
  <c r="L115" i="26"/>
  <c r="F205" i="26"/>
  <c r="F257" i="26" s="1"/>
  <c r="E150" i="26"/>
  <c r="M115" i="26"/>
  <c r="E190" i="26"/>
  <c r="D71" i="26"/>
  <c r="K110" i="26"/>
  <c r="C216" i="28"/>
  <c r="C216" i="27"/>
  <c r="C216" i="26"/>
  <c r="R212" i="19"/>
  <c r="C212" i="26" s="1"/>
  <c r="C3" i="26"/>
  <c r="C3" i="28"/>
  <c r="C3" i="27"/>
  <c r="D69" i="30"/>
  <c r="D90" i="30"/>
  <c r="R45" i="19"/>
  <c r="N63" i="19"/>
  <c r="N66" i="19" s="1"/>
  <c r="F219" i="21"/>
  <c r="F223" i="28"/>
  <c r="K67" i="19"/>
  <c r="K133" i="19" s="1"/>
  <c r="E72" i="26"/>
  <c r="R205" i="24"/>
  <c r="R69" i="24" s="1"/>
  <c r="D70" i="26"/>
  <c r="D87" i="27"/>
  <c r="D72" i="27" s="1"/>
  <c r="L203" i="22"/>
  <c r="D198" i="27"/>
  <c r="D203" i="27" s="1"/>
  <c r="L100" i="22"/>
  <c r="D88" i="27"/>
  <c r="R88" i="22"/>
  <c r="D5" i="26"/>
  <c r="R203" i="22"/>
  <c r="D198" i="26"/>
  <c r="D203" i="26" s="1"/>
  <c r="M29" i="19"/>
  <c r="C29" i="27"/>
  <c r="R219" i="21"/>
  <c r="L219" i="21"/>
  <c r="F223" i="27"/>
  <c r="L219" i="24"/>
  <c r="E223" i="27"/>
  <c r="R83" i="19"/>
  <c r="R96" i="19" s="1"/>
  <c r="R105" i="19"/>
  <c r="C105" i="26" s="1"/>
  <c r="B21" i="34" s="1"/>
  <c r="E21" i="34" s="1"/>
  <c r="P129" i="19"/>
  <c r="R154" i="19"/>
  <c r="R176" i="19"/>
  <c r="C176" i="26" s="1"/>
  <c r="R196" i="19"/>
  <c r="C196" i="26" s="1"/>
  <c r="B91" i="34" s="1"/>
  <c r="C91" i="34" s="1"/>
  <c r="O203" i="19"/>
  <c r="R215" i="19"/>
  <c r="C215" i="26" s="1"/>
  <c r="C230" i="26" s="1"/>
  <c r="R213" i="19"/>
  <c r="C213" i="26" s="1"/>
  <c r="R211" i="19"/>
  <c r="C211" i="26" s="1"/>
  <c r="R209" i="19"/>
  <c r="C209" i="26" s="1"/>
  <c r="P66" i="19"/>
  <c r="R31" i="19"/>
  <c r="C31" i="26" s="1"/>
  <c r="O39" i="19"/>
  <c r="Q150" i="19"/>
  <c r="O82" i="19"/>
  <c r="O95" i="19" s="1"/>
  <c r="Q39" i="19"/>
  <c r="Q65" i="19" s="1"/>
  <c r="Q66" i="19"/>
  <c r="R84" i="19"/>
  <c r="R97" i="19" s="1"/>
  <c r="H190" i="19"/>
  <c r="R110" i="19"/>
  <c r="R107" i="19"/>
  <c r="C107" i="26" s="1"/>
  <c r="B23" i="34" s="1"/>
  <c r="F23" i="34" s="1"/>
  <c r="R126" i="19"/>
  <c r="R158" i="19"/>
  <c r="R157" i="19"/>
  <c r="C157" i="26" s="1"/>
  <c r="B62" i="34" s="1"/>
  <c r="Q165" i="19"/>
  <c r="R189" i="19"/>
  <c r="R187" i="19"/>
  <c r="R185" i="19"/>
  <c r="O190" i="19"/>
  <c r="R202" i="19"/>
  <c r="R197" i="19"/>
  <c r="C197" i="26" s="1"/>
  <c r="B92" i="34" s="1"/>
  <c r="F92" i="34" s="1"/>
  <c r="R36" i="19"/>
  <c r="C36" i="26" s="1"/>
  <c r="R34" i="19"/>
  <c r="C34" i="26" s="1"/>
  <c r="R23" i="19"/>
  <c r="C23" i="26" s="1"/>
  <c r="H109" i="19"/>
  <c r="I129" i="19"/>
  <c r="P203" i="19"/>
  <c r="R85" i="19"/>
  <c r="R98" i="19" s="1"/>
  <c r="O114" i="19"/>
  <c r="L116" i="19"/>
  <c r="L128" i="19"/>
  <c r="H174" i="19"/>
  <c r="R125" i="19"/>
  <c r="C125" i="26" s="1"/>
  <c r="B38" i="34" s="1"/>
  <c r="F38" i="34" s="1"/>
  <c r="R123" i="19"/>
  <c r="R121" i="19"/>
  <c r="C121" i="26" s="1"/>
  <c r="B34" i="34" s="1"/>
  <c r="E34" i="34" s="1"/>
  <c r="R182" i="19"/>
  <c r="Q203" i="19"/>
  <c r="R62" i="19"/>
  <c r="C62" i="26" s="1"/>
  <c r="R61" i="19"/>
  <c r="C61" i="26" s="1"/>
  <c r="R58" i="19"/>
  <c r="C58" i="26" s="1"/>
  <c r="R55" i="19"/>
  <c r="C55" i="26" s="1"/>
  <c r="R54" i="19"/>
  <c r="C54" i="26" s="1"/>
  <c r="D18" i="35" s="1"/>
  <c r="R53" i="19"/>
  <c r="C53" i="26" s="1"/>
  <c r="R50" i="19"/>
  <c r="C50" i="26" s="1"/>
  <c r="R24" i="19"/>
  <c r="C24" i="26" s="1"/>
  <c r="R200" i="19"/>
  <c r="C200" i="26" s="1"/>
  <c r="B95" i="34" s="1"/>
  <c r="F95" i="34" s="1"/>
  <c r="O66" i="19"/>
  <c r="J117" i="19"/>
  <c r="J130" i="19" s="1"/>
  <c r="L114" i="19"/>
  <c r="L111" i="19"/>
  <c r="C111" i="27" s="1"/>
  <c r="B25" i="33" s="1"/>
  <c r="F25" i="33" s="1"/>
  <c r="P111" i="19"/>
  <c r="P117" i="19" s="1"/>
  <c r="P39" i="19"/>
  <c r="P65" i="19" s="1"/>
  <c r="P78" i="19"/>
  <c r="O137" i="22"/>
  <c r="O138" i="22" s="1"/>
  <c r="O205" i="22" s="1"/>
  <c r="O218" i="22" s="1"/>
  <c r="O219" i="22" s="1"/>
  <c r="R69" i="21"/>
  <c r="F218" i="24"/>
  <c r="R71" i="22"/>
  <c r="R70" i="22"/>
  <c r="H137" i="22"/>
  <c r="H138" i="22" s="1"/>
  <c r="N162" i="22"/>
  <c r="R162" i="22" s="1"/>
  <c r="D162" i="26" s="1"/>
  <c r="L87" i="22"/>
  <c r="P137" i="22"/>
  <c r="P138" i="22" s="1"/>
  <c r="E205" i="22"/>
  <c r="E218" i="22" s="1"/>
  <c r="E219" i="22" s="1"/>
  <c r="R140" i="22"/>
  <c r="N150" i="22"/>
  <c r="F87" i="22"/>
  <c r="G87" i="22" s="1"/>
  <c r="F150" i="22"/>
  <c r="P165" i="22"/>
  <c r="R153" i="22"/>
  <c r="D153" i="26" s="1"/>
  <c r="B205" i="22"/>
  <c r="B218" i="22" s="1"/>
  <c r="B219" i="22" s="1"/>
  <c r="N163" i="22"/>
  <c r="R163" i="22" s="1"/>
  <c r="D163" i="26" s="1"/>
  <c r="F165" i="22"/>
  <c r="N132" i="22"/>
  <c r="R132" i="22" s="1"/>
  <c r="N131" i="22"/>
  <c r="R131" i="22" s="1"/>
  <c r="Q190" i="22"/>
  <c r="Q205" i="22" s="1"/>
  <c r="R181" i="22"/>
  <c r="L161" i="22"/>
  <c r="H165" i="22"/>
  <c r="R155" i="22"/>
  <c r="D155" i="26" s="1"/>
  <c r="N100" i="22"/>
  <c r="N87" i="22"/>
  <c r="R75" i="22"/>
  <c r="D75" i="26" s="1"/>
  <c r="Q90" i="22"/>
  <c r="Q100" i="22" s="1"/>
  <c r="Q87" i="22"/>
  <c r="R77" i="22"/>
  <c r="L131" i="22"/>
  <c r="L71" i="22"/>
  <c r="L70" i="22"/>
  <c r="F131" i="22"/>
  <c r="F71" i="22"/>
  <c r="N179" i="19"/>
  <c r="R142" i="19"/>
  <c r="C142" i="26" s="1"/>
  <c r="B49" i="34" s="1"/>
  <c r="I49" i="34" s="1"/>
  <c r="R207" i="19"/>
  <c r="C207" i="26" s="1"/>
  <c r="R26" i="19"/>
  <c r="C26" i="26" s="1"/>
  <c r="R22" i="19"/>
  <c r="C22" i="26" s="1"/>
  <c r="N39" i="19"/>
  <c r="N65" i="19" s="1"/>
  <c r="R29" i="19"/>
  <c r="Q67" i="19"/>
  <c r="R86" i="19"/>
  <c r="R99" i="19" s="1"/>
  <c r="R194" i="19"/>
  <c r="C194" i="26" s="1"/>
  <c r="B89" i="34" s="1"/>
  <c r="F89" i="34" s="1"/>
  <c r="N174" i="19"/>
  <c r="Q174" i="19"/>
  <c r="P174" i="19"/>
  <c r="O174" i="19"/>
  <c r="O165" i="19"/>
  <c r="R152" i="19"/>
  <c r="C152" i="26" s="1"/>
  <c r="B57" i="34" s="1"/>
  <c r="K57" i="34" s="1"/>
  <c r="Q129" i="19"/>
  <c r="Q130" i="19" s="1"/>
  <c r="R119" i="19"/>
  <c r="L66" i="19"/>
  <c r="I67" i="19"/>
  <c r="I133" i="19" s="1"/>
  <c r="L39" i="19"/>
  <c r="L65" i="19" s="1"/>
  <c r="L82" i="19"/>
  <c r="L95" i="19" s="1"/>
  <c r="L148" i="19"/>
  <c r="C148" i="27" s="1"/>
  <c r="B53" i="33" s="1"/>
  <c r="L78" i="19"/>
  <c r="H5" i="19"/>
  <c r="K131" i="19"/>
  <c r="L129" i="19"/>
  <c r="I100" i="19"/>
  <c r="J100" i="19"/>
  <c r="L6" i="19"/>
  <c r="L81" i="19"/>
  <c r="L94" i="19" s="1"/>
  <c r="H95" i="19"/>
  <c r="L106" i="19"/>
  <c r="I117" i="19"/>
  <c r="I130" i="19" s="1"/>
  <c r="L178" i="19"/>
  <c r="L179" i="19" s="1"/>
  <c r="I87" i="19"/>
  <c r="H92" i="19"/>
  <c r="H90" i="19"/>
  <c r="J87" i="19"/>
  <c r="H19" i="19"/>
  <c r="H65" i="19"/>
  <c r="H67" i="19" s="1"/>
  <c r="J65" i="19"/>
  <c r="J67" i="19" s="1"/>
  <c r="J133" i="19" s="1"/>
  <c r="L80" i="19"/>
  <c r="L93" i="19" s="1"/>
  <c r="L173" i="19"/>
  <c r="L174" i="19" s="1"/>
  <c r="O67" i="19"/>
  <c r="P67" i="19"/>
  <c r="O93" i="19"/>
  <c r="R178" i="19"/>
  <c r="R128" i="19"/>
  <c r="R192" i="19"/>
  <c r="C192" i="26" s="1"/>
  <c r="B87" i="34" s="1"/>
  <c r="F87" i="34" s="1"/>
  <c r="P87" i="19"/>
  <c r="R167" i="19"/>
  <c r="D11" i="20"/>
  <c r="D12" i="20" s="1"/>
  <c r="D13" i="20" s="1"/>
  <c r="B12" i="20"/>
  <c r="B13" i="20" s="1"/>
  <c r="B16" i="20"/>
  <c r="C11" i="20"/>
  <c r="C12" i="20" s="1"/>
  <c r="C13" i="20" s="1"/>
  <c r="P57" i="34" l="1"/>
  <c r="D57" i="34" s="1"/>
  <c r="C57" i="34" s="1"/>
  <c r="D70" i="34"/>
  <c r="C70" i="34" s="1"/>
  <c r="R174" i="19"/>
  <c r="C167" i="26"/>
  <c r="F72" i="34"/>
  <c r="G72" i="34" s="1"/>
  <c r="H72" i="34" s="1"/>
  <c r="I72" i="34" s="1"/>
  <c r="J72" i="34" s="1"/>
  <c r="K72" i="34" s="1"/>
  <c r="L72" i="34" s="1"/>
  <c r="M72" i="34" s="1"/>
  <c r="N72" i="34" s="1"/>
  <c r="O72" i="34" s="1"/>
  <c r="P72" i="34" s="1"/>
  <c r="D90" i="34"/>
  <c r="C90" i="34" s="1"/>
  <c r="G95" i="34"/>
  <c r="H95" i="34" s="1"/>
  <c r="I95" i="34" s="1"/>
  <c r="J95" i="34" s="1"/>
  <c r="K95" i="34" s="1"/>
  <c r="L95" i="34" s="1"/>
  <c r="M95" i="34" s="1"/>
  <c r="N95" i="34" s="1"/>
  <c r="O95" i="34" s="1"/>
  <c r="P95" i="34" s="1"/>
  <c r="G92" i="34"/>
  <c r="H92" i="34" s="1"/>
  <c r="I92" i="34" s="1"/>
  <c r="J92" i="34" s="1"/>
  <c r="K92" i="34" s="1"/>
  <c r="L92" i="34" s="1"/>
  <c r="M92" i="34" s="1"/>
  <c r="N92" i="34" s="1"/>
  <c r="O92" i="34" s="1"/>
  <c r="P92" i="34" s="1"/>
  <c r="G89" i="34"/>
  <c r="H89" i="34" s="1"/>
  <c r="I89" i="34" s="1"/>
  <c r="J89" i="34" s="1"/>
  <c r="K89" i="34" s="1"/>
  <c r="L89" i="34" s="1"/>
  <c r="M89" i="34" s="1"/>
  <c r="N89" i="34" s="1"/>
  <c r="O89" i="34" s="1"/>
  <c r="P89" i="34" s="1"/>
  <c r="G87" i="34"/>
  <c r="H87" i="34" s="1"/>
  <c r="I87" i="34" s="1"/>
  <c r="J87" i="34" s="1"/>
  <c r="K87" i="34" s="1"/>
  <c r="L87" i="34" s="1"/>
  <c r="M87" i="34" s="1"/>
  <c r="N87" i="34" s="1"/>
  <c r="O87" i="34" s="1"/>
  <c r="P87" i="34" s="1"/>
  <c r="D87" i="34"/>
  <c r="C87" i="34" s="1"/>
  <c r="R179" i="19"/>
  <c r="C178" i="26"/>
  <c r="B78" i="34" s="1"/>
  <c r="B76" i="34"/>
  <c r="C179" i="26"/>
  <c r="I62" i="34"/>
  <c r="L62" i="34" s="1"/>
  <c r="J49" i="34"/>
  <c r="K49" i="34" s="1"/>
  <c r="L49" i="34" s="1"/>
  <c r="M49" i="34" s="1"/>
  <c r="N49" i="34" s="1"/>
  <c r="O49" i="34" s="1"/>
  <c r="P49" i="34" s="1"/>
  <c r="D49" i="34"/>
  <c r="C49" i="34" s="1"/>
  <c r="G38" i="34"/>
  <c r="H38" i="34" s="1"/>
  <c r="I38" i="34" s="1"/>
  <c r="J38" i="34" s="1"/>
  <c r="K38" i="34" s="1"/>
  <c r="L38" i="34" s="1"/>
  <c r="M38" i="34" s="1"/>
  <c r="N38" i="34" s="1"/>
  <c r="O38" i="34" s="1"/>
  <c r="P38" i="34" s="1"/>
  <c r="F34" i="34"/>
  <c r="G34" i="34" s="1"/>
  <c r="H34" i="34" s="1"/>
  <c r="I34" i="34" s="1"/>
  <c r="J34" i="34" s="1"/>
  <c r="K34" i="34" s="1"/>
  <c r="L34" i="34" s="1"/>
  <c r="M34" i="34" s="1"/>
  <c r="N34" i="34" s="1"/>
  <c r="O34" i="34" s="1"/>
  <c r="P34" i="34" s="1"/>
  <c r="D30" i="34"/>
  <c r="C30" i="34" s="1"/>
  <c r="D27" i="34"/>
  <c r="C27" i="34" s="1"/>
  <c r="F137" i="22"/>
  <c r="F138" i="22" s="1"/>
  <c r="F205" i="22" s="1"/>
  <c r="F218" i="22" s="1"/>
  <c r="D131" i="28"/>
  <c r="D137" i="28" s="1"/>
  <c r="D138" i="28" s="1"/>
  <c r="D205" i="28" s="1"/>
  <c r="D132" i="26"/>
  <c r="G23" i="34"/>
  <c r="H23" i="34" s="1"/>
  <c r="I23" i="34" s="1"/>
  <c r="J23" i="34" s="1"/>
  <c r="K23" i="34" s="1"/>
  <c r="L23" i="34" s="1"/>
  <c r="M23" i="34" s="1"/>
  <c r="N23" i="34" s="1"/>
  <c r="O23" i="34" s="1"/>
  <c r="P23" i="34" s="1"/>
  <c r="F21" i="34"/>
  <c r="G21" i="34" s="1"/>
  <c r="H21" i="34" s="1"/>
  <c r="I21" i="34" s="1"/>
  <c r="J21" i="34" s="1"/>
  <c r="K21" i="34" s="1"/>
  <c r="L21" i="34" s="1"/>
  <c r="M21" i="34" s="1"/>
  <c r="N21" i="34" s="1"/>
  <c r="O21" i="34" s="1"/>
  <c r="P21" i="34" s="1"/>
  <c r="D21" i="34"/>
  <c r="C21" i="34" s="1"/>
  <c r="D14" i="35"/>
  <c r="D102" i="30"/>
  <c r="D81" i="30"/>
  <c r="D8" i="35"/>
  <c r="D71" i="30"/>
  <c r="D92" i="30"/>
  <c r="D16" i="35"/>
  <c r="D83" i="30"/>
  <c r="D104" i="30"/>
  <c r="D4" i="35"/>
  <c r="D88" i="30"/>
  <c r="D67" i="30"/>
  <c r="D15" i="35"/>
  <c r="D103" i="30"/>
  <c r="D82" i="30"/>
  <c r="D5" i="35"/>
  <c r="D89" i="30"/>
  <c r="D68" i="30"/>
  <c r="D94" i="30"/>
  <c r="D73" i="30"/>
  <c r="D17" i="35"/>
  <c r="D105" i="30"/>
  <c r="D84" i="30"/>
  <c r="D13" i="35"/>
  <c r="D101" i="30"/>
  <c r="D80" i="30"/>
  <c r="D28" i="34"/>
  <c r="C28" i="34" s="1"/>
  <c r="D10" i="35"/>
  <c r="D27" i="29"/>
  <c r="D71" i="29"/>
  <c r="D69" i="29"/>
  <c r="D25" i="29"/>
  <c r="D24" i="29"/>
  <c r="D68" i="29"/>
  <c r="D71" i="31"/>
  <c r="D27" i="31"/>
  <c r="D73" i="31"/>
  <c r="D29" i="31"/>
  <c r="D28" i="29"/>
  <c r="D72" i="29"/>
  <c r="D70" i="31"/>
  <c r="D26" i="31"/>
  <c r="D73" i="29"/>
  <c r="D29" i="29"/>
  <c r="D72" i="31"/>
  <c r="D28" i="31"/>
  <c r="D26" i="29"/>
  <c r="D70" i="29"/>
  <c r="L137" i="26"/>
  <c r="F252" i="26"/>
  <c r="P130" i="19"/>
  <c r="G25" i="33"/>
  <c r="H25" i="33" s="1"/>
  <c r="I25" i="33" s="1"/>
  <c r="J25" i="33" s="1"/>
  <c r="K25" i="33" s="1"/>
  <c r="L25" i="33" s="1"/>
  <c r="M25" i="33" s="1"/>
  <c r="N25" i="33" s="1"/>
  <c r="O25" i="33" s="1"/>
  <c r="P25" i="33" s="1"/>
  <c r="D25" i="33"/>
  <c r="C25" i="33" s="1"/>
  <c r="F245" i="26"/>
  <c r="F251" i="26"/>
  <c r="F250" i="26"/>
  <c r="P20" i="34"/>
  <c r="F249" i="26"/>
  <c r="F247" i="26"/>
  <c r="C228" i="26"/>
  <c r="B99" i="34"/>
  <c r="F99" i="34" s="1"/>
  <c r="F218" i="26"/>
  <c r="F238" i="26" s="1"/>
  <c r="F244" i="26"/>
  <c r="F256" i="26"/>
  <c r="F69" i="26"/>
  <c r="F226" i="26"/>
  <c r="F233" i="26" s="1"/>
  <c r="E205" i="26"/>
  <c r="E246" i="26" s="1"/>
  <c r="E53" i="33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P19" i="33"/>
  <c r="D31" i="35"/>
  <c r="D41" i="35" s="1"/>
  <c r="C39" i="27"/>
  <c r="C65" i="27" s="1"/>
  <c r="C67" i="27" s="1"/>
  <c r="D35" i="30"/>
  <c r="D45" i="30" s="1"/>
  <c r="D30" i="31"/>
  <c r="J30" i="31" s="1"/>
  <c r="D74" i="31"/>
  <c r="J74" i="31" s="1"/>
  <c r="F243" i="26"/>
  <c r="F255" i="26"/>
  <c r="F253" i="26"/>
  <c r="F246" i="26"/>
  <c r="F248" i="26"/>
  <c r="F254" i="26"/>
  <c r="D165" i="26"/>
  <c r="R63" i="19"/>
  <c r="R66" i="19" s="1"/>
  <c r="C45" i="26"/>
  <c r="D6" i="35" s="1"/>
  <c r="N67" i="19"/>
  <c r="F219" i="24"/>
  <c r="E223" i="28"/>
  <c r="R218" i="24"/>
  <c r="R219" i="24" s="1"/>
  <c r="L137" i="22"/>
  <c r="L138" i="22" s="1"/>
  <c r="D131" i="27"/>
  <c r="R137" i="22"/>
  <c r="R138" i="22" s="1"/>
  <c r="D131" i="26"/>
  <c r="L165" i="22"/>
  <c r="D161" i="27"/>
  <c r="D165" i="27" s="1"/>
  <c r="R150" i="22"/>
  <c r="D140" i="26"/>
  <c r="R100" i="22"/>
  <c r="D88" i="26"/>
  <c r="D100" i="26" s="1"/>
  <c r="R190" i="22"/>
  <c r="D181" i="26"/>
  <c r="R90" i="22"/>
  <c r="D90" i="26" s="1"/>
  <c r="D77" i="26"/>
  <c r="D87" i="26" s="1"/>
  <c r="L91" i="19"/>
  <c r="C91" i="27" s="1"/>
  <c r="C78" i="27"/>
  <c r="B6" i="33" s="1"/>
  <c r="L6" i="33" s="1"/>
  <c r="D6" i="33" s="1"/>
  <c r="C6" i="33" s="1"/>
  <c r="R39" i="19"/>
  <c r="R65" i="19" s="1"/>
  <c r="C29" i="26"/>
  <c r="H76" i="19"/>
  <c r="L76" i="19" s="1"/>
  <c r="C76" i="27" s="1"/>
  <c r="H133" i="19"/>
  <c r="L133" i="19" s="1"/>
  <c r="C133" i="27" s="1"/>
  <c r="B42" i="33" s="1"/>
  <c r="K77" i="19"/>
  <c r="K181" i="19"/>
  <c r="J131" i="19"/>
  <c r="J137" i="19" s="1"/>
  <c r="J138" i="19" s="1"/>
  <c r="P91" i="19"/>
  <c r="P100" i="19" s="1"/>
  <c r="L109" i="19"/>
  <c r="H140" i="19"/>
  <c r="J153" i="19"/>
  <c r="K137" i="19"/>
  <c r="K138" i="19" s="1"/>
  <c r="L72" i="22"/>
  <c r="M87" i="22"/>
  <c r="H205" i="22"/>
  <c r="H218" i="22" s="1"/>
  <c r="H219" i="22" s="1"/>
  <c r="Q218" i="22"/>
  <c r="Q219" i="22" s="1"/>
  <c r="P205" i="22"/>
  <c r="P218" i="22" s="1"/>
  <c r="P219" i="22" s="1"/>
  <c r="N137" i="22"/>
  <c r="N138" i="22" s="1"/>
  <c r="R87" i="22"/>
  <c r="F72" i="22"/>
  <c r="R165" i="22"/>
  <c r="N165" i="22"/>
  <c r="L67" i="19"/>
  <c r="L136" i="19"/>
  <c r="C136" i="27" s="1"/>
  <c r="B45" i="33" s="1"/>
  <c r="F45" i="33" s="1"/>
  <c r="H117" i="19"/>
  <c r="H130" i="19" s="1"/>
  <c r="H131" i="19" s="1"/>
  <c r="H89" i="19"/>
  <c r="L5" i="19"/>
  <c r="H88" i="19"/>
  <c r="H156" i="19"/>
  <c r="L19" i="19"/>
  <c r="I131" i="19"/>
  <c r="E16" i="20"/>
  <c r="E17" i="20" s="1"/>
  <c r="E18" i="20" s="1"/>
  <c r="B21" i="20"/>
  <c r="D16" i="20"/>
  <c r="D17" i="20" s="1"/>
  <c r="D18" i="20" s="1"/>
  <c r="C16" i="20"/>
  <c r="C17" i="20" s="1"/>
  <c r="C18" i="20" s="1"/>
  <c r="B17" i="20"/>
  <c r="B18" i="20" s="1"/>
  <c r="B69" i="34" l="1"/>
  <c r="F69" i="34" s="1"/>
  <c r="C174" i="26"/>
  <c r="D72" i="34"/>
  <c r="C72" i="34" s="1"/>
  <c r="D92" i="34"/>
  <c r="C92" i="34" s="1"/>
  <c r="D89" i="34"/>
  <c r="C89" i="34" s="1"/>
  <c r="D95" i="34"/>
  <c r="K78" i="34"/>
  <c r="G78" i="34"/>
  <c r="D78" i="34" s="1"/>
  <c r="C78" i="34" s="1"/>
  <c r="K76" i="34"/>
  <c r="G76" i="34"/>
  <c r="D76" i="34" s="1"/>
  <c r="C76" i="34" s="1"/>
  <c r="D62" i="34"/>
  <c r="C62" i="34" s="1"/>
  <c r="D38" i="34"/>
  <c r="C38" i="34" s="1"/>
  <c r="D34" i="34"/>
  <c r="C34" i="34" s="1"/>
  <c r="E218" i="26"/>
  <c r="E223" i="26" s="1"/>
  <c r="E49" i="35"/>
  <c r="E50" i="35" s="1"/>
  <c r="E53" i="35" s="1"/>
  <c r="D69" i="28"/>
  <c r="D218" i="28"/>
  <c r="D219" i="28" s="1"/>
  <c r="D23" i="34"/>
  <c r="E226" i="26"/>
  <c r="E233" i="26" s="1"/>
  <c r="E244" i="26"/>
  <c r="E245" i="26"/>
  <c r="E257" i="26"/>
  <c r="E254" i="26"/>
  <c r="F219" i="26"/>
  <c r="E69" i="26"/>
  <c r="E247" i="26"/>
  <c r="E256" i="26"/>
  <c r="E243" i="26"/>
  <c r="E253" i="26"/>
  <c r="E248" i="26"/>
  <c r="L45" i="30"/>
  <c r="D44" i="35"/>
  <c r="E251" i="26"/>
  <c r="E250" i="26"/>
  <c r="E252" i="26"/>
  <c r="E249" i="26"/>
  <c r="E255" i="26"/>
  <c r="C39" i="26"/>
  <c r="C65" i="26" s="1"/>
  <c r="D9" i="35"/>
  <c r="F223" i="26"/>
  <c r="D19" i="35"/>
  <c r="G99" i="34"/>
  <c r="H99" i="34" s="1"/>
  <c r="I99" i="34" s="1"/>
  <c r="J99" i="34" s="1"/>
  <c r="K99" i="34" s="1"/>
  <c r="L99" i="34" s="1"/>
  <c r="M99" i="34" s="1"/>
  <c r="N99" i="34" s="1"/>
  <c r="O99" i="34" s="1"/>
  <c r="P99" i="34" s="1"/>
  <c r="D20" i="34"/>
  <c r="C20" i="34" s="1"/>
  <c r="D137" i="27"/>
  <c r="D138" i="27" s="1"/>
  <c r="J112" i="27"/>
  <c r="J42" i="33"/>
  <c r="G42" i="33"/>
  <c r="G45" i="33"/>
  <c r="H45" i="33" s="1"/>
  <c r="I45" i="33" s="1"/>
  <c r="J45" i="33" s="1"/>
  <c r="K45" i="33" s="1"/>
  <c r="L45" i="33" s="1"/>
  <c r="M45" i="33" s="1"/>
  <c r="N45" i="33" s="1"/>
  <c r="O45" i="33" s="1"/>
  <c r="D19" i="33"/>
  <c r="C19" i="33" s="1"/>
  <c r="D53" i="33"/>
  <c r="C53" i="33" s="1"/>
  <c r="F259" i="26"/>
  <c r="D190" i="26"/>
  <c r="D150" i="26"/>
  <c r="K137" i="26" s="1"/>
  <c r="E219" i="26"/>
  <c r="D137" i="26"/>
  <c r="D138" i="26" s="1"/>
  <c r="K112" i="26"/>
  <c r="C63" i="26"/>
  <c r="C66" i="26" s="1"/>
  <c r="D78" i="30"/>
  <c r="D99" i="30"/>
  <c r="L205" i="22"/>
  <c r="L218" i="22" s="1"/>
  <c r="L219" i="22" s="1"/>
  <c r="R67" i="19"/>
  <c r="F219" i="22"/>
  <c r="R205" i="22"/>
  <c r="R69" i="22" s="1"/>
  <c r="D72" i="26"/>
  <c r="L117" i="19"/>
  <c r="L130" i="19" s="1"/>
  <c r="L70" i="19" s="1"/>
  <c r="C109" i="27"/>
  <c r="L88" i="19"/>
  <c r="C5" i="27"/>
  <c r="M19" i="19"/>
  <c r="C19" i="27"/>
  <c r="L156" i="19"/>
  <c r="C156" i="27" s="1"/>
  <c r="B59" i="33" s="1"/>
  <c r="E59" i="33" s="1"/>
  <c r="H87" i="19"/>
  <c r="L159" i="19"/>
  <c r="C159" i="27" s="1"/>
  <c r="B62" i="33" s="1"/>
  <c r="E62" i="33" s="1"/>
  <c r="L198" i="19"/>
  <c r="L145" i="19"/>
  <c r="C145" i="27" s="1"/>
  <c r="B50" i="33" s="1"/>
  <c r="L144" i="19"/>
  <c r="C144" i="27" s="1"/>
  <c r="B49" i="33" s="1"/>
  <c r="E49" i="33" s="1"/>
  <c r="L147" i="19"/>
  <c r="C147" i="27" s="1"/>
  <c r="B52" i="33" s="1"/>
  <c r="L75" i="19"/>
  <c r="C75" i="27" s="1"/>
  <c r="B4" i="33" s="1"/>
  <c r="H161" i="19"/>
  <c r="L146" i="19"/>
  <c r="C146" i="27" s="1"/>
  <c r="B51" i="33" s="1"/>
  <c r="E51" i="33" s="1"/>
  <c r="J165" i="19"/>
  <c r="J205" i="19" s="1"/>
  <c r="J218" i="19" s="1"/>
  <c r="J219" i="19" s="1"/>
  <c r="L153" i="19"/>
  <c r="C153" i="27" s="1"/>
  <c r="B56" i="33" s="1"/>
  <c r="F56" i="33" s="1"/>
  <c r="N205" i="22"/>
  <c r="N218" i="22" s="1"/>
  <c r="N219" i="22" s="1"/>
  <c r="F69" i="22"/>
  <c r="R72" i="22"/>
  <c r="H100" i="19"/>
  <c r="H203" i="19"/>
  <c r="H162" i="19"/>
  <c r="H163" i="19"/>
  <c r="H150" i="19"/>
  <c r="L140" i="19"/>
  <c r="C140" i="27" s="1"/>
  <c r="B46" i="33" s="1"/>
  <c r="I137" i="19"/>
  <c r="I138" i="19" s="1"/>
  <c r="I205" i="19" s="1"/>
  <c r="I218" i="19" s="1"/>
  <c r="I219" i="19" s="1"/>
  <c r="K190" i="19"/>
  <c r="K205" i="19" s="1"/>
  <c r="L181" i="19"/>
  <c r="K87" i="19"/>
  <c r="K90" i="19"/>
  <c r="K100" i="19" s="1"/>
  <c r="L77" i="19"/>
  <c r="L155" i="19"/>
  <c r="B26" i="20"/>
  <c r="B22" i="20"/>
  <c r="B23" i="20" s="1"/>
  <c r="E21" i="20"/>
  <c r="E22" i="20" s="1"/>
  <c r="E23" i="20" s="1"/>
  <c r="D21" i="20"/>
  <c r="D22" i="20" s="1"/>
  <c r="D23" i="20" s="1"/>
  <c r="C21" i="20"/>
  <c r="C22" i="20" s="1"/>
  <c r="C23" i="20" s="1"/>
  <c r="G69" i="34" l="1"/>
  <c r="H69" i="34" s="1"/>
  <c r="I69" i="34" s="1"/>
  <c r="J69" i="34" s="1"/>
  <c r="K69" i="34" s="1"/>
  <c r="L69" i="34" s="1"/>
  <c r="M69" i="34" s="1"/>
  <c r="N69" i="34" s="1"/>
  <c r="O69" i="34" s="1"/>
  <c r="P69" i="34" s="1"/>
  <c r="E238" i="26"/>
  <c r="D223" i="28"/>
  <c r="D99" i="34"/>
  <c r="C99" i="34" s="1"/>
  <c r="E259" i="26"/>
  <c r="L131" i="19"/>
  <c r="C131" i="27" s="1"/>
  <c r="B40" i="33" s="1"/>
  <c r="L71" i="19"/>
  <c r="C67" i="26"/>
  <c r="D22" i="35" s="1"/>
  <c r="L69" i="22"/>
  <c r="D205" i="26"/>
  <c r="D255" i="26" s="1"/>
  <c r="F59" i="33"/>
  <c r="G59" i="33" s="1"/>
  <c r="H59" i="33" s="1"/>
  <c r="I59" i="33" s="1"/>
  <c r="J59" i="33" s="1"/>
  <c r="K59" i="33" s="1"/>
  <c r="L59" i="33" s="1"/>
  <c r="M59" i="33" s="1"/>
  <c r="N59" i="33" s="1"/>
  <c r="O59" i="33" s="1"/>
  <c r="P59" i="33" s="1"/>
  <c r="E4" i="33"/>
  <c r="D205" i="27"/>
  <c r="E46" i="33"/>
  <c r="F46" i="33"/>
  <c r="G46" i="33" s="1"/>
  <c r="E52" i="33"/>
  <c r="F52" i="33"/>
  <c r="G52" i="33" s="1"/>
  <c r="H52" i="33" s="1"/>
  <c r="I52" i="33" s="1"/>
  <c r="J52" i="33" s="1"/>
  <c r="K52" i="33" s="1"/>
  <c r="L52" i="33" s="1"/>
  <c r="M52" i="33" s="1"/>
  <c r="N52" i="33" s="1"/>
  <c r="O52" i="33" s="1"/>
  <c r="P52" i="33" s="1"/>
  <c r="F62" i="33"/>
  <c r="G62" i="33" s="1"/>
  <c r="H62" i="33" s="1"/>
  <c r="I62" i="33" s="1"/>
  <c r="J62" i="33" s="1"/>
  <c r="K62" i="33" s="1"/>
  <c r="L62" i="33" s="1"/>
  <c r="M62" i="33" s="1"/>
  <c r="N62" i="33" s="1"/>
  <c r="O62" i="33" s="1"/>
  <c r="P62" i="33" s="1"/>
  <c r="F51" i="33"/>
  <c r="G51" i="33" s="1"/>
  <c r="H51" i="33" s="1"/>
  <c r="I51" i="33" s="1"/>
  <c r="J51" i="33" s="1"/>
  <c r="K51" i="33" s="1"/>
  <c r="L51" i="33" s="1"/>
  <c r="M51" i="33" s="1"/>
  <c r="N51" i="33" s="1"/>
  <c r="O51" i="33" s="1"/>
  <c r="P51" i="33" s="1"/>
  <c r="F49" i="33"/>
  <c r="G49" i="33" s="1"/>
  <c r="H49" i="33" s="1"/>
  <c r="I49" i="33" s="1"/>
  <c r="J49" i="33" s="1"/>
  <c r="K49" i="33" s="1"/>
  <c r="L49" i="33" s="1"/>
  <c r="M49" i="33" s="1"/>
  <c r="N49" i="33" s="1"/>
  <c r="O49" i="33" s="1"/>
  <c r="P49" i="33" s="1"/>
  <c r="B24" i="33"/>
  <c r="F24" i="33" s="1"/>
  <c r="I109" i="27"/>
  <c r="D45" i="33"/>
  <c r="C45" i="33" s="1"/>
  <c r="E50" i="33"/>
  <c r="F50" i="33"/>
  <c r="G50" i="33" s="1"/>
  <c r="H50" i="33" s="1"/>
  <c r="I50" i="33" s="1"/>
  <c r="J50" i="33" s="1"/>
  <c r="K50" i="33" s="1"/>
  <c r="L50" i="33" s="1"/>
  <c r="M50" i="33" s="1"/>
  <c r="N50" i="33" s="1"/>
  <c r="O50" i="33" s="1"/>
  <c r="P50" i="33" s="1"/>
  <c r="J115" i="27"/>
  <c r="J114" i="27"/>
  <c r="G56" i="33"/>
  <c r="H56" i="33" s="1"/>
  <c r="I56" i="33" s="1"/>
  <c r="J56" i="33" s="1"/>
  <c r="K56" i="33" s="1"/>
  <c r="L56" i="33" s="1"/>
  <c r="M56" i="33" s="1"/>
  <c r="N56" i="33" s="1"/>
  <c r="O56" i="33" s="1"/>
  <c r="P56" i="33" s="1"/>
  <c r="D56" i="33"/>
  <c r="C56" i="33" s="1"/>
  <c r="K114" i="26"/>
  <c r="K115" i="26"/>
  <c r="R218" i="22"/>
  <c r="R219" i="22" s="1"/>
  <c r="C117" i="27"/>
  <c r="C130" i="27" s="1"/>
  <c r="C150" i="27"/>
  <c r="L90" i="19"/>
  <c r="C90" i="27" s="1"/>
  <c r="C77" i="27"/>
  <c r="L190" i="19"/>
  <c r="C181" i="27"/>
  <c r="L203" i="19"/>
  <c r="C198" i="27"/>
  <c r="L100" i="19"/>
  <c r="C88" i="27"/>
  <c r="L132" i="19"/>
  <c r="L150" i="19"/>
  <c r="L163" i="19"/>
  <c r="C163" i="27" s="1"/>
  <c r="B66" i="33" s="1"/>
  <c r="E66" i="33" s="1"/>
  <c r="L162" i="19"/>
  <c r="C162" i="27" s="1"/>
  <c r="B65" i="33" s="1"/>
  <c r="E65" i="33" s="1"/>
  <c r="L161" i="19"/>
  <c r="C161" i="27" s="1"/>
  <c r="B64" i="33" s="1"/>
  <c r="E64" i="33" s="1"/>
  <c r="H137" i="19"/>
  <c r="H138" i="19" s="1"/>
  <c r="H165" i="19"/>
  <c r="L87" i="19"/>
  <c r="L72" i="19" s="1"/>
  <c r="K218" i="19"/>
  <c r="K219" i="19" s="1"/>
  <c r="E26" i="20"/>
  <c r="E27" i="20" s="1"/>
  <c r="E28" i="20" s="1"/>
  <c r="C26" i="20"/>
  <c r="C27" i="20" s="1"/>
  <c r="C28" i="20" s="1"/>
  <c r="B27" i="20"/>
  <c r="B28" i="20" s="1"/>
  <c r="D26" i="20"/>
  <c r="D27" i="20" s="1"/>
  <c r="D28" i="20" s="1"/>
  <c r="D69" i="34" l="1"/>
  <c r="C69" i="34" s="1"/>
  <c r="D62" i="33"/>
  <c r="C62" i="33" s="1"/>
  <c r="D49" i="33"/>
  <c r="C49" i="33" s="1"/>
  <c r="D51" i="33"/>
  <c r="C51" i="33" s="1"/>
  <c r="D256" i="26"/>
  <c r="D248" i="26"/>
  <c r="D257" i="26"/>
  <c r="D244" i="26"/>
  <c r="D218" i="26"/>
  <c r="D219" i="26" s="1"/>
  <c r="D226" i="26"/>
  <c r="D233" i="26" s="1"/>
  <c r="D245" i="26"/>
  <c r="D247" i="26"/>
  <c r="D253" i="26"/>
  <c r="D246" i="26"/>
  <c r="D250" i="26"/>
  <c r="D251" i="26"/>
  <c r="D69" i="26"/>
  <c r="D69" i="27"/>
  <c r="D250" i="27"/>
  <c r="D251" i="27"/>
  <c r="D249" i="26"/>
  <c r="D252" i="26"/>
  <c r="D243" i="26"/>
  <c r="D254" i="26"/>
  <c r="F64" i="33"/>
  <c r="G64" i="33" s="1"/>
  <c r="H64" i="33" s="1"/>
  <c r="I64" i="33" s="1"/>
  <c r="J64" i="33" s="1"/>
  <c r="K64" i="33" s="1"/>
  <c r="L64" i="33" s="1"/>
  <c r="M64" i="33" s="1"/>
  <c r="N64" i="33" s="1"/>
  <c r="O64" i="33" s="1"/>
  <c r="P64" i="33" s="1"/>
  <c r="F65" i="33"/>
  <c r="G65" i="33" s="1"/>
  <c r="H65" i="33" s="1"/>
  <c r="I65" i="33" s="1"/>
  <c r="J65" i="33" s="1"/>
  <c r="K65" i="33" s="1"/>
  <c r="L65" i="33" s="1"/>
  <c r="M65" i="33" s="1"/>
  <c r="N65" i="33" s="1"/>
  <c r="O65" i="33" s="1"/>
  <c r="P65" i="33" s="1"/>
  <c r="D52" i="33"/>
  <c r="C52" i="33" s="1"/>
  <c r="F66" i="33"/>
  <c r="G66" i="33" s="1"/>
  <c r="H66" i="33" s="1"/>
  <c r="I66" i="33" s="1"/>
  <c r="J66" i="33" s="1"/>
  <c r="K66" i="33" s="1"/>
  <c r="L66" i="33" s="1"/>
  <c r="M66" i="33" s="1"/>
  <c r="N66" i="33" s="1"/>
  <c r="O66" i="33" s="1"/>
  <c r="P66" i="33" s="1"/>
  <c r="D66" i="33"/>
  <c r="C66" i="33" s="1"/>
  <c r="C70" i="27"/>
  <c r="D42" i="35"/>
  <c r="I110" i="27"/>
  <c r="D50" i="33"/>
  <c r="C50" i="33" s="1"/>
  <c r="E16" i="33"/>
  <c r="F4" i="33"/>
  <c r="C203" i="27"/>
  <c r="B91" i="33"/>
  <c r="F91" i="33" s="1"/>
  <c r="C87" i="27"/>
  <c r="C72" i="27" s="1"/>
  <c r="B5" i="33"/>
  <c r="D46" i="33"/>
  <c r="C46" i="33" s="1"/>
  <c r="E100" i="33"/>
  <c r="E101" i="33" s="1"/>
  <c r="E102" i="33" s="1"/>
  <c r="D59" i="33"/>
  <c r="C59" i="33" s="1"/>
  <c r="D246" i="27"/>
  <c r="D253" i="27"/>
  <c r="D226" i="27"/>
  <c r="D233" i="27" s="1"/>
  <c r="D249" i="27"/>
  <c r="D256" i="27"/>
  <c r="D247" i="27"/>
  <c r="D257" i="27"/>
  <c r="D248" i="27"/>
  <c r="D254" i="27"/>
  <c r="D245" i="27"/>
  <c r="D255" i="27"/>
  <c r="D252" i="27"/>
  <c r="D243" i="27"/>
  <c r="D218" i="27"/>
  <c r="D244" i="27"/>
  <c r="C190" i="27"/>
  <c r="B77" i="33"/>
  <c r="F77" i="33" s="1"/>
  <c r="G24" i="33"/>
  <c r="F41" i="33"/>
  <c r="F40" i="33"/>
  <c r="C71" i="27"/>
  <c r="L137" i="19"/>
  <c r="L138" i="19" s="1"/>
  <c r="C132" i="27"/>
  <c r="C165" i="27"/>
  <c r="L165" i="19"/>
  <c r="H205" i="19"/>
  <c r="H218" i="19" s="1"/>
  <c r="H219" i="19" s="1"/>
  <c r="D223" i="26" l="1"/>
  <c r="D238" i="26"/>
  <c r="D259" i="26"/>
  <c r="H24" i="33"/>
  <c r="G40" i="33"/>
  <c r="G41" i="33"/>
  <c r="D223" i="27"/>
  <c r="D219" i="27"/>
  <c r="D238" i="27"/>
  <c r="G91" i="33"/>
  <c r="H91" i="33" s="1"/>
  <c r="I91" i="33" s="1"/>
  <c r="J91" i="33" s="1"/>
  <c r="K91" i="33" s="1"/>
  <c r="L91" i="33" s="1"/>
  <c r="M91" i="33" s="1"/>
  <c r="N91" i="33" s="1"/>
  <c r="O91" i="33" s="1"/>
  <c r="P91" i="33" s="1"/>
  <c r="D65" i="33"/>
  <c r="C65" i="33" s="1"/>
  <c r="G77" i="33"/>
  <c r="H77" i="33" s="1"/>
  <c r="I77" i="33" s="1"/>
  <c r="J77" i="33" s="1"/>
  <c r="K77" i="33" s="1"/>
  <c r="L77" i="33" s="1"/>
  <c r="M77" i="33" s="1"/>
  <c r="N77" i="33" s="1"/>
  <c r="O77" i="33" s="1"/>
  <c r="P77" i="33" s="1"/>
  <c r="D259" i="27"/>
  <c r="F100" i="33"/>
  <c r="G5" i="33"/>
  <c r="P5" i="33"/>
  <c r="I5" i="33"/>
  <c r="N5" i="33"/>
  <c r="O5" i="33"/>
  <c r="L5" i="33"/>
  <c r="J5" i="33"/>
  <c r="M5" i="33"/>
  <c r="K5" i="33"/>
  <c r="H5" i="33"/>
  <c r="B16" i="33"/>
  <c r="D64" i="33"/>
  <c r="C64" i="33" s="1"/>
  <c r="F16" i="33"/>
  <c r="G4" i="33"/>
  <c r="C137" i="27"/>
  <c r="C138" i="27" s="1"/>
  <c r="B41" i="33"/>
  <c r="I112" i="27"/>
  <c r="L205" i="19"/>
  <c r="L218" i="19" s="1"/>
  <c r="L219" i="19" s="1"/>
  <c r="C205" i="27"/>
  <c r="F101" i="33" l="1"/>
  <c r="F102" i="33" s="1"/>
  <c r="C244" i="27"/>
  <c r="I244" i="27" s="1"/>
  <c r="C250" i="27"/>
  <c r="I250" i="27" s="1"/>
  <c r="C251" i="27"/>
  <c r="I251" i="27" s="1"/>
  <c r="H4" i="33"/>
  <c r="G16" i="33"/>
  <c r="I24" i="33"/>
  <c r="H41" i="33"/>
  <c r="H40" i="33"/>
  <c r="D5" i="33"/>
  <c r="C5" i="33" s="1"/>
  <c r="D77" i="33"/>
  <c r="C77" i="33" s="1"/>
  <c r="D91" i="33"/>
  <c r="C91" i="33" s="1"/>
  <c r="I114" i="27"/>
  <c r="I115" i="27"/>
  <c r="B100" i="33"/>
  <c r="C69" i="27"/>
  <c r="C255" i="27"/>
  <c r="I255" i="27" s="1"/>
  <c r="C246" i="27"/>
  <c r="I246" i="27" s="1"/>
  <c r="C257" i="27"/>
  <c r="I257" i="27" s="1"/>
  <c r="C253" i="27"/>
  <c r="I253" i="27" s="1"/>
  <c r="C248" i="27"/>
  <c r="I248" i="27" s="1"/>
  <c r="C226" i="27"/>
  <c r="C233" i="27" s="1"/>
  <c r="C256" i="27"/>
  <c r="I256" i="27" s="1"/>
  <c r="C254" i="27"/>
  <c r="I254" i="27" s="1"/>
  <c r="C252" i="27"/>
  <c r="I252" i="27" s="1"/>
  <c r="C249" i="27"/>
  <c r="I249" i="27" s="1"/>
  <c r="C247" i="27"/>
  <c r="I247" i="27" s="1"/>
  <c r="C245" i="27"/>
  <c r="I245" i="27" s="1"/>
  <c r="C243" i="27"/>
  <c r="L69" i="19"/>
  <c r="C218" i="27"/>
  <c r="F221" i="19"/>
  <c r="E221" i="19"/>
  <c r="D221" i="19"/>
  <c r="C221" i="19"/>
  <c r="B221" i="19"/>
  <c r="A221" i="19"/>
  <c r="F216" i="19"/>
  <c r="F215" i="19"/>
  <c r="F214" i="19"/>
  <c r="F213" i="19"/>
  <c r="C213" i="28" s="1"/>
  <c r="F212" i="19"/>
  <c r="C212" i="28" s="1"/>
  <c r="F211" i="19"/>
  <c r="C211" i="28" s="1"/>
  <c r="F210" i="19"/>
  <c r="C210" i="28" s="1"/>
  <c r="F209" i="19"/>
  <c r="C209" i="28" s="1"/>
  <c r="F208" i="19"/>
  <c r="C208" i="28" s="1"/>
  <c r="F207" i="19"/>
  <c r="C207" i="28" s="1"/>
  <c r="E203" i="19"/>
  <c r="D203" i="19"/>
  <c r="C203" i="19"/>
  <c r="F202" i="19"/>
  <c r="F201" i="19"/>
  <c r="F200" i="19"/>
  <c r="C200" i="28" s="1"/>
  <c r="F199" i="19"/>
  <c r="F197" i="19"/>
  <c r="C197" i="28" s="1"/>
  <c r="F196" i="19"/>
  <c r="C196" i="28" s="1"/>
  <c r="F195" i="19"/>
  <c r="C195" i="28" s="1"/>
  <c r="F193" i="19"/>
  <c r="C193" i="28" s="1"/>
  <c r="F192" i="19"/>
  <c r="C192" i="28" s="1"/>
  <c r="B191" i="19"/>
  <c r="D190" i="19"/>
  <c r="C190" i="19"/>
  <c r="F189" i="19"/>
  <c r="F188" i="19"/>
  <c r="F187" i="19"/>
  <c r="F186" i="19"/>
  <c r="F185" i="19"/>
  <c r="B184" i="19"/>
  <c r="N184" i="19" s="1"/>
  <c r="R184" i="19" s="1"/>
  <c r="F183" i="19"/>
  <c r="F182" i="19"/>
  <c r="B181" i="19"/>
  <c r="F180" i="19"/>
  <c r="F191" i="19" s="1"/>
  <c r="E180" i="19"/>
  <c r="E191" i="19" s="1"/>
  <c r="D180" i="19"/>
  <c r="D191" i="19" s="1"/>
  <c r="C180" i="19"/>
  <c r="C191" i="19" s="1"/>
  <c r="B180" i="19"/>
  <c r="E179" i="19"/>
  <c r="D179" i="19"/>
  <c r="C179" i="19"/>
  <c r="F178" i="19"/>
  <c r="C178" i="28" s="1"/>
  <c r="F177" i="19"/>
  <c r="C177" i="28" s="1"/>
  <c r="F176" i="19"/>
  <c r="C176" i="28" s="1"/>
  <c r="E174" i="19"/>
  <c r="D174" i="19"/>
  <c r="C174" i="19"/>
  <c r="F173" i="19"/>
  <c r="F172" i="19"/>
  <c r="F171" i="19"/>
  <c r="F170" i="19"/>
  <c r="C170" i="28" s="1"/>
  <c r="F169" i="19"/>
  <c r="F168" i="19"/>
  <c r="C168" i="28" s="1"/>
  <c r="F167" i="19"/>
  <c r="C167" i="28" s="1"/>
  <c r="E166" i="19"/>
  <c r="E165" i="19"/>
  <c r="C165" i="19"/>
  <c r="F160" i="19"/>
  <c r="C160" i="28" s="1"/>
  <c r="F158" i="19"/>
  <c r="F157" i="19"/>
  <c r="C157" i="28" s="1"/>
  <c r="F154" i="19"/>
  <c r="F152" i="19"/>
  <c r="C152" i="28" s="1"/>
  <c r="F151" i="19"/>
  <c r="F166" i="19" s="1"/>
  <c r="E151" i="19"/>
  <c r="D151" i="19"/>
  <c r="D166" i="19" s="1"/>
  <c r="C151" i="19"/>
  <c r="C166" i="19" s="1"/>
  <c r="B151" i="19"/>
  <c r="B166" i="19" s="1"/>
  <c r="E150" i="19"/>
  <c r="O148" i="19"/>
  <c r="N148" i="19"/>
  <c r="O147" i="19"/>
  <c r="O146" i="19"/>
  <c r="F143" i="19"/>
  <c r="F142" i="19"/>
  <c r="C142" i="28" s="1"/>
  <c r="F141" i="19"/>
  <c r="F139" i="19"/>
  <c r="E139" i="19"/>
  <c r="D139" i="19"/>
  <c r="C139" i="19"/>
  <c r="B139" i="19"/>
  <c r="F135" i="19"/>
  <c r="B135" i="19"/>
  <c r="N135" i="19" s="1"/>
  <c r="E129" i="19"/>
  <c r="E130" i="19" s="1"/>
  <c r="Q132" i="19" s="1"/>
  <c r="D129" i="19"/>
  <c r="B129" i="19"/>
  <c r="F128" i="19"/>
  <c r="C127" i="19"/>
  <c r="C129" i="19" s="1"/>
  <c r="F126" i="19"/>
  <c r="F125" i="19"/>
  <c r="C125" i="28" s="1"/>
  <c r="F124" i="19"/>
  <c r="F123" i="19"/>
  <c r="F122" i="19"/>
  <c r="F121" i="19"/>
  <c r="C121" i="28" s="1"/>
  <c r="F120" i="19"/>
  <c r="F119" i="19"/>
  <c r="F118" i="19"/>
  <c r="E118" i="19"/>
  <c r="D118" i="19"/>
  <c r="C118" i="19"/>
  <c r="B118" i="19"/>
  <c r="E117" i="19"/>
  <c r="C116" i="19"/>
  <c r="O116" i="19" s="1"/>
  <c r="O117" i="19" s="1"/>
  <c r="B116" i="19"/>
  <c r="N116" i="19" s="1"/>
  <c r="R116" i="19" s="1"/>
  <c r="C116" i="26" s="1"/>
  <c r="B31" i="34" s="1"/>
  <c r="E31" i="34" s="1"/>
  <c r="F115" i="19"/>
  <c r="C115" i="28" s="1"/>
  <c r="B114" i="19"/>
  <c r="F113" i="19"/>
  <c r="C113" i="28" s="1"/>
  <c r="F112" i="19"/>
  <c r="C112" i="28" s="1"/>
  <c r="D117" i="19"/>
  <c r="B111" i="19"/>
  <c r="F110" i="19"/>
  <c r="F108" i="19"/>
  <c r="C108" i="28" s="1"/>
  <c r="F107" i="19"/>
  <c r="C107" i="28" s="1"/>
  <c r="F106" i="19"/>
  <c r="C106" i="28" s="1"/>
  <c r="F105" i="19"/>
  <c r="C105" i="28" s="1"/>
  <c r="F104" i="19"/>
  <c r="C104" i="28" s="1"/>
  <c r="F102" i="19"/>
  <c r="E102" i="19"/>
  <c r="D102" i="19"/>
  <c r="C102" i="19"/>
  <c r="B102" i="19"/>
  <c r="F99" i="19"/>
  <c r="E99" i="19"/>
  <c r="D99" i="19"/>
  <c r="C99" i="19"/>
  <c r="B99" i="19"/>
  <c r="F98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E94" i="19"/>
  <c r="D94" i="19"/>
  <c r="C94" i="19"/>
  <c r="E93" i="19"/>
  <c r="D93" i="19"/>
  <c r="E92" i="19"/>
  <c r="E91" i="19"/>
  <c r="D91" i="19"/>
  <c r="D90" i="19"/>
  <c r="E89" i="19"/>
  <c r="D89" i="19"/>
  <c r="F89" i="19" s="1"/>
  <c r="C89" i="19"/>
  <c r="A89" i="19"/>
  <c r="E88" i="19"/>
  <c r="D88" i="19"/>
  <c r="C88" i="19"/>
  <c r="F86" i="19"/>
  <c r="F85" i="19"/>
  <c r="F84" i="19"/>
  <c r="F97" i="19" s="1"/>
  <c r="F83" i="19"/>
  <c r="F96" i="19" s="1"/>
  <c r="C95" i="19"/>
  <c r="B82" i="19"/>
  <c r="B81" i="19"/>
  <c r="C93" i="19"/>
  <c r="B80" i="19"/>
  <c r="D87" i="19"/>
  <c r="C79" i="19"/>
  <c r="O79" i="19" s="1"/>
  <c r="O92" i="19" s="1"/>
  <c r="B79" i="19"/>
  <c r="C78" i="19"/>
  <c r="B78" i="19"/>
  <c r="C77" i="19"/>
  <c r="B77" i="19"/>
  <c r="C76" i="19"/>
  <c r="O76" i="19" s="1"/>
  <c r="C75" i="19"/>
  <c r="E74" i="19"/>
  <c r="C74" i="19"/>
  <c r="B74" i="19"/>
  <c r="E66" i="19"/>
  <c r="D66" i="19"/>
  <c r="C65" i="19"/>
  <c r="C66" i="19"/>
  <c r="B66" i="19"/>
  <c r="F62" i="19"/>
  <c r="C62" i="28" s="1"/>
  <c r="F61" i="19"/>
  <c r="C61" i="28" s="1"/>
  <c r="F60" i="19"/>
  <c r="C60" i="28" s="1"/>
  <c r="F59" i="19"/>
  <c r="C59" i="28" s="1"/>
  <c r="F58" i="19"/>
  <c r="C58" i="28" s="1"/>
  <c r="F57" i="19"/>
  <c r="C57" i="28" s="1"/>
  <c r="F56" i="19"/>
  <c r="C56" i="28" s="1"/>
  <c r="F55" i="19"/>
  <c r="C55" i="28" s="1"/>
  <c r="F54" i="19"/>
  <c r="C54" i="28" s="1"/>
  <c r="F53" i="19"/>
  <c r="C53" i="28" s="1"/>
  <c r="F52" i="19"/>
  <c r="C52" i="28" s="1"/>
  <c r="F51" i="19"/>
  <c r="C51" i="28" s="1"/>
  <c r="F50" i="19"/>
  <c r="C50" i="28" s="1"/>
  <c r="F49" i="19"/>
  <c r="C49" i="28" s="1"/>
  <c r="F48" i="19"/>
  <c r="C48" i="28" s="1"/>
  <c r="F47" i="19"/>
  <c r="C47" i="28" s="1"/>
  <c r="F46" i="19"/>
  <c r="C46" i="28" s="1"/>
  <c r="F44" i="19"/>
  <c r="F43" i="19"/>
  <c r="C43" i="28" s="1"/>
  <c r="F42" i="19"/>
  <c r="C42" i="28" s="1"/>
  <c r="E39" i="19"/>
  <c r="E65" i="19" s="1"/>
  <c r="D39" i="19"/>
  <c r="P136" i="19" s="1"/>
  <c r="C39" i="19"/>
  <c r="O136" i="19" s="1"/>
  <c r="B39" i="19"/>
  <c r="N109" i="19" s="1"/>
  <c r="F38" i="19"/>
  <c r="C38" i="28" s="1"/>
  <c r="F37" i="19"/>
  <c r="C37" i="28" s="1"/>
  <c r="F36" i="19"/>
  <c r="C36" i="28" s="1"/>
  <c r="F35" i="19"/>
  <c r="C35" i="28" s="1"/>
  <c r="F34" i="19"/>
  <c r="C34" i="28" s="1"/>
  <c r="F33" i="19"/>
  <c r="C33" i="28" s="1"/>
  <c r="F32" i="19"/>
  <c r="C32" i="28" s="1"/>
  <c r="F31" i="19"/>
  <c r="C31" i="28" s="1"/>
  <c r="F30" i="19"/>
  <c r="C30" i="28" s="1"/>
  <c r="F29" i="19"/>
  <c r="C29" i="28" s="1"/>
  <c r="C39" i="28" s="1"/>
  <c r="C65" i="28" s="1"/>
  <c r="F27" i="19"/>
  <c r="F26" i="19"/>
  <c r="C26" i="28" s="1"/>
  <c r="F25" i="19"/>
  <c r="C25" i="28" s="1"/>
  <c r="F24" i="19"/>
  <c r="C24" i="28" s="1"/>
  <c r="F23" i="19"/>
  <c r="C23" i="28" s="1"/>
  <c r="F22" i="19"/>
  <c r="C22" i="28" s="1"/>
  <c r="F18" i="19"/>
  <c r="C18" i="28" s="1"/>
  <c r="F17" i="19"/>
  <c r="C17" i="28" s="1"/>
  <c r="F16" i="19"/>
  <c r="C16" i="28" s="1"/>
  <c r="F15" i="19"/>
  <c r="C15" i="28" s="1"/>
  <c r="F14" i="19"/>
  <c r="C14" i="28" s="1"/>
  <c r="F13" i="19"/>
  <c r="C13" i="28" s="1"/>
  <c r="N11" i="19"/>
  <c r="R11" i="19" s="1"/>
  <c r="C11" i="26" s="1"/>
  <c r="N10" i="19"/>
  <c r="R10" i="19" s="1"/>
  <c r="C10" i="26" s="1"/>
  <c r="N7" i="19"/>
  <c r="R7" i="19" s="1"/>
  <c r="C7" i="26" s="1"/>
  <c r="N6" i="19"/>
  <c r="F3" i="19"/>
  <c r="F2" i="19"/>
  <c r="C174" i="28" l="1"/>
  <c r="C179" i="28"/>
  <c r="D130" i="19"/>
  <c r="P132" i="19" s="1"/>
  <c r="E42" i="34"/>
  <c r="F31" i="34"/>
  <c r="G31" i="34" s="1"/>
  <c r="H31" i="34" s="1"/>
  <c r="I31" i="34" s="1"/>
  <c r="J31" i="34" s="1"/>
  <c r="K31" i="34" s="1"/>
  <c r="L31" i="34" s="1"/>
  <c r="M31" i="34" s="1"/>
  <c r="N31" i="34" s="1"/>
  <c r="O31" i="34" s="1"/>
  <c r="P31" i="34" s="1"/>
  <c r="E41" i="34"/>
  <c r="D31" i="34"/>
  <c r="C31" i="34" s="1"/>
  <c r="C117" i="19"/>
  <c r="C130" i="19" s="1"/>
  <c r="O132" i="19" s="1"/>
  <c r="J7" i="26"/>
  <c r="D39" i="29"/>
  <c r="H100" i="33"/>
  <c r="J24" i="33"/>
  <c r="I41" i="33"/>
  <c r="I40" i="33"/>
  <c r="I100" i="33" s="1"/>
  <c r="H16" i="33"/>
  <c r="I4" i="33"/>
  <c r="C259" i="27"/>
  <c r="I243" i="27"/>
  <c r="I259" i="27" s="1"/>
  <c r="C219" i="27"/>
  <c r="C238" i="27"/>
  <c r="C239" i="27" s="1"/>
  <c r="J10" i="26"/>
  <c r="D42" i="29"/>
  <c r="J11" i="26"/>
  <c r="D43" i="29"/>
  <c r="C223" i="27"/>
  <c r="F63" i="19"/>
  <c r="C44" i="28"/>
  <c r="C63" i="28" s="1"/>
  <c r="C66" i="28" s="1"/>
  <c r="C67" i="28" s="1"/>
  <c r="C90" i="19"/>
  <c r="O77" i="19"/>
  <c r="O90" i="19" s="1"/>
  <c r="C67" i="19"/>
  <c r="O133" i="19" s="1"/>
  <c r="C87" i="19"/>
  <c r="O75" i="19"/>
  <c r="F81" i="19"/>
  <c r="N81" i="19"/>
  <c r="F111" i="19"/>
  <c r="C111" i="28" s="1"/>
  <c r="N111" i="19"/>
  <c r="R111" i="19" s="1"/>
  <c r="C111" i="26" s="1"/>
  <c r="B26" i="34" s="1"/>
  <c r="F26" i="34" s="1"/>
  <c r="F114" i="19"/>
  <c r="C114" i="28" s="1"/>
  <c r="N114" i="19"/>
  <c r="R114" i="19" s="1"/>
  <c r="C114" i="26" s="1"/>
  <c r="B29" i="34" s="1"/>
  <c r="F29" i="34" s="1"/>
  <c r="F127" i="19"/>
  <c r="C127" i="28" s="1"/>
  <c r="C129" i="28" s="1"/>
  <c r="O127" i="19"/>
  <c r="C150" i="19"/>
  <c r="O144" i="19"/>
  <c r="O150" i="19" s="1"/>
  <c r="F184" i="19"/>
  <c r="B65" i="19"/>
  <c r="B67" i="19" s="1"/>
  <c r="N133" i="19" s="1"/>
  <c r="B92" i="19"/>
  <c r="N79" i="19"/>
  <c r="F10" i="19"/>
  <c r="C10" i="28" s="1"/>
  <c r="D65" i="19"/>
  <c r="D67" i="19" s="1"/>
  <c r="P133" i="19" s="1"/>
  <c r="B91" i="19"/>
  <c r="N78" i="19"/>
  <c r="B95" i="19"/>
  <c r="N82" i="19"/>
  <c r="C92" i="19"/>
  <c r="B94" i="19"/>
  <c r="F116" i="19"/>
  <c r="C116" i="28" s="1"/>
  <c r="D150" i="19"/>
  <c r="P148" i="19"/>
  <c r="F12" i="19"/>
  <c r="C12" i="28" s="1"/>
  <c r="N12" i="19"/>
  <c r="R12" i="19" s="1"/>
  <c r="C12" i="26" s="1"/>
  <c r="R109" i="19"/>
  <c r="C109" i="26" s="1"/>
  <c r="B190" i="19"/>
  <c r="N181" i="19"/>
  <c r="F7" i="19"/>
  <c r="C7" i="28" s="1"/>
  <c r="R6" i="19"/>
  <c r="C6" i="26" s="1"/>
  <c r="B5" i="19"/>
  <c r="N8" i="19"/>
  <c r="R8" i="19" s="1"/>
  <c r="C8" i="26" s="1"/>
  <c r="F6" i="19"/>
  <c r="C6" i="28" s="1"/>
  <c r="F9" i="19"/>
  <c r="C9" i="28" s="1"/>
  <c r="N9" i="19"/>
  <c r="R9" i="19" s="1"/>
  <c r="C9" i="26" s="1"/>
  <c r="F11" i="19"/>
  <c r="C11" i="28" s="1"/>
  <c r="B19" i="19"/>
  <c r="E67" i="19"/>
  <c r="Q133" i="19" s="1"/>
  <c r="B90" i="19"/>
  <c r="N77" i="19"/>
  <c r="C91" i="19"/>
  <c r="O78" i="19"/>
  <c r="O91" i="19" s="1"/>
  <c r="B93" i="19"/>
  <c r="N80" i="19"/>
  <c r="F179" i="19"/>
  <c r="F66" i="19"/>
  <c r="F39" i="19"/>
  <c r="F136" i="19" s="1"/>
  <c r="C136" i="28" s="1"/>
  <c r="G29" i="19"/>
  <c r="F174" i="19"/>
  <c r="F82" i="19"/>
  <c r="F79" i="19"/>
  <c r="D92" i="19"/>
  <c r="D100" i="19" s="1"/>
  <c r="F148" i="19"/>
  <c r="C148" i="28" s="1"/>
  <c r="C100" i="19"/>
  <c r="B117" i="19"/>
  <c r="B130" i="19" s="1"/>
  <c r="F109" i="19"/>
  <c r="D131" i="19"/>
  <c r="P131" i="19" s="1"/>
  <c r="B88" i="19"/>
  <c r="F129" i="19"/>
  <c r="F194" i="19"/>
  <c r="C194" i="28" s="1"/>
  <c r="F78" i="19"/>
  <c r="N136" i="19"/>
  <c r="B174" i="19"/>
  <c r="E131" i="19"/>
  <c r="Q131" i="19" s="1"/>
  <c r="B155" i="19"/>
  <c r="N155" i="19" s="1"/>
  <c r="B179" i="19"/>
  <c r="F8" i="19"/>
  <c r="C8" i="28" s="1"/>
  <c r="F19" i="19"/>
  <c r="C19" i="28" s="1"/>
  <c r="F80" i="19"/>
  <c r="Q136" i="19"/>
  <c r="B156" i="19" l="1"/>
  <c r="R136" i="19"/>
  <c r="C136" i="26" s="1"/>
  <c r="B46" i="34" s="1"/>
  <c r="F46" i="34" s="1"/>
  <c r="G46" i="34" s="1"/>
  <c r="H46" i="34" s="1"/>
  <c r="I46" i="34" s="1"/>
  <c r="J46" i="34" s="1"/>
  <c r="K46" i="34" s="1"/>
  <c r="L46" i="34" s="1"/>
  <c r="M46" i="34" s="1"/>
  <c r="F92" i="19"/>
  <c r="C92" i="28" s="1"/>
  <c r="C79" i="28"/>
  <c r="F93" i="19"/>
  <c r="C93" i="28" s="1"/>
  <c r="C80" i="28"/>
  <c r="F94" i="19"/>
  <c r="C94" i="28" s="1"/>
  <c r="C81" i="28"/>
  <c r="F91" i="19"/>
  <c r="C91" i="28" s="1"/>
  <c r="C78" i="28"/>
  <c r="F95" i="19"/>
  <c r="C95" i="28" s="1"/>
  <c r="C82" i="28"/>
  <c r="Q137" i="19"/>
  <c r="Q138" i="19" s="1"/>
  <c r="G29" i="34"/>
  <c r="H29" i="34" s="1"/>
  <c r="I29" i="34" s="1"/>
  <c r="J29" i="34" s="1"/>
  <c r="K29" i="34" s="1"/>
  <c r="L29" i="34" s="1"/>
  <c r="M29" i="34" s="1"/>
  <c r="N29" i="34" s="1"/>
  <c r="O29" i="34" s="1"/>
  <c r="P29" i="34" s="1"/>
  <c r="N117" i="19"/>
  <c r="N130" i="19" s="1"/>
  <c r="F117" i="19"/>
  <c r="F130" i="19" s="1"/>
  <c r="C109" i="28"/>
  <c r="F65" i="19"/>
  <c r="J8" i="26"/>
  <c r="D40" i="29"/>
  <c r="B75" i="19"/>
  <c r="N75" i="19" s="1"/>
  <c r="R75" i="19" s="1"/>
  <c r="C75" i="26" s="1"/>
  <c r="B4" i="34" s="1"/>
  <c r="J6" i="26"/>
  <c r="D38" i="29"/>
  <c r="D18" i="29"/>
  <c r="D62" i="29"/>
  <c r="H101" i="33"/>
  <c r="G26" i="34"/>
  <c r="H26" i="34" s="1"/>
  <c r="I26" i="34" s="1"/>
  <c r="J26" i="34" s="1"/>
  <c r="K26" i="34" s="1"/>
  <c r="L26" i="34" s="1"/>
  <c r="M26" i="34" s="1"/>
  <c r="N26" i="34" s="1"/>
  <c r="O26" i="34" s="1"/>
  <c r="P26" i="34" s="1"/>
  <c r="J109" i="26"/>
  <c r="B25" i="34"/>
  <c r="F25" i="34" s="1"/>
  <c r="I16" i="33"/>
  <c r="J4" i="33"/>
  <c r="K24" i="33"/>
  <c r="J41" i="33"/>
  <c r="J40" i="33"/>
  <c r="D236" i="27"/>
  <c r="D239" i="27" s="1"/>
  <c r="C240" i="27"/>
  <c r="D22" i="29"/>
  <c r="D66" i="29"/>
  <c r="J12" i="26"/>
  <c r="D96" i="30" s="1"/>
  <c r="D106" i="30" s="1"/>
  <c r="D44" i="29"/>
  <c r="D65" i="29"/>
  <c r="D21" i="29"/>
  <c r="D41" i="29"/>
  <c r="J9" i="26"/>
  <c r="F133" i="19"/>
  <c r="C133" i="28" s="1"/>
  <c r="C117" i="26"/>
  <c r="R155" i="19"/>
  <c r="C155" i="26" s="1"/>
  <c r="B60" i="34" s="1"/>
  <c r="E60" i="34" s="1"/>
  <c r="N91" i="19"/>
  <c r="R78" i="19"/>
  <c r="R148" i="19"/>
  <c r="C148" i="26" s="1"/>
  <c r="B55" i="34" s="1"/>
  <c r="P150" i="19"/>
  <c r="N94" i="19"/>
  <c r="R81" i="19"/>
  <c r="F144" i="19"/>
  <c r="C144" i="28" s="1"/>
  <c r="N144" i="19"/>
  <c r="R144" i="19" s="1"/>
  <c r="C144" i="26" s="1"/>
  <c r="B51" i="34" s="1"/>
  <c r="R80" i="19"/>
  <c r="N93" i="19"/>
  <c r="F159" i="19"/>
  <c r="C159" i="28" s="1"/>
  <c r="N159" i="19"/>
  <c r="R159" i="19" s="1"/>
  <c r="C159" i="26" s="1"/>
  <c r="B64" i="34" s="1"/>
  <c r="E64" i="34" s="1"/>
  <c r="N132" i="19"/>
  <c r="R132" i="19" s="1"/>
  <c r="F145" i="19"/>
  <c r="C145" i="28" s="1"/>
  <c r="N145" i="19"/>
  <c r="R145" i="19" s="1"/>
  <c r="C145" i="26" s="1"/>
  <c r="B52" i="34" s="1"/>
  <c r="B89" i="19"/>
  <c r="F5" i="19"/>
  <c r="C131" i="19"/>
  <c r="O131" i="19" s="1"/>
  <c r="N19" i="19"/>
  <c r="R19" i="19" s="1"/>
  <c r="N190" i="19"/>
  <c r="R117" i="19"/>
  <c r="N95" i="19"/>
  <c r="R82" i="19"/>
  <c r="R133" i="19"/>
  <c r="C133" i="26" s="1"/>
  <c r="B43" i="34" s="1"/>
  <c r="O129" i="19"/>
  <c r="O130" i="19" s="1"/>
  <c r="R127" i="19"/>
  <c r="C127" i="26" s="1"/>
  <c r="O100" i="19"/>
  <c r="N90" i="19"/>
  <c r="N92" i="19"/>
  <c r="R79" i="19"/>
  <c r="F146" i="19"/>
  <c r="C146" i="28" s="1"/>
  <c r="N146" i="19"/>
  <c r="R146" i="19" s="1"/>
  <c r="C146" i="26" s="1"/>
  <c r="B53" i="34" s="1"/>
  <c r="B76" i="19"/>
  <c r="P137" i="19"/>
  <c r="P138" i="19" s="1"/>
  <c r="F156" i="19"/>
  <c r="C156" i="28" s="1"/>
  <c r="N156" i="19"/>
  <c r="R156" i="19" s="1"/>
  <c r="C156" i="26" s="1"/>
  <c r="B61" i="34" s="1"/>
  <c r="E61" i="34" s="1"/>
  <c r="N140" i="19"/>
  <c r="N5" i="19"/>
  <c r="O87" i="19"/>
  <c r="F67" i="19"/>
  <c r="C137" i="19"/>
  <c r="C138" i="19" s="1"/>
  <c r="C205" i="19" s="1"/>
  <c r="C218" i="19" s="1"/>
  <c r="C219" i="19" s="1"/>
  <c r="B203" i="19"/>
  <c r="B131" i="19"/>
  <c r="N131" i="19" s="1"/>
  <c r="F155" i="19"/>
  <c r="C155" i="28" s="1"/>
  <c r="B150" i="19"/>
  <c r="F140" i="19"/>
  <c r="C140" i="28" s="1"/>
  <c r="B162" i="19"/>
  <c r="B161" i="19"/>
  <c r="B100" i="19"/>
  <c r="B163" i="19"/>
  <c r="E137" i="19"/>
  <c r="E138" i="19" s="1"/>
  <c r="D137" i="19"/>
  <c r="D138" i="19" s="1"/>
  <c r="D65" i="10"/>
  <c r="N137" i="19" l="1"/>
  <c r="N138" i="19" s="1"/>
  <c r="D29" i="34"/>
  <c r="C29" i="34" s="1"/>
  <c r="F131" i="19"/>
  <c r="C131" i="28" s="1"/>
  <c r="F70" i="19"/>
  <c r="F71" i="19"/>
  <c r="R95" i="19"/>
  <c r="C95" i="26" s="1"/>
  <c r="C82" i="26"/>
  <c r="B13" i="34" s="1"/>
  <c r="E13" i="34" s="1"/>
  <c r="R92" i="19"/>
  <c r="C92" i="26" s="1"/>
  <c r="C79" i="26"/>
  <c r="B8" i="34" s="1"/>
  <c r="R94" i="19"/>
  <c r="C94" i="26" s="1"/>
  <c r="C81" i="26"/>
  <c r="B12" i="34" s="1"/>
  <c r="E12" i="34" s="1"/>
  <c r="R93" i="19"/>
  <c r="C93" i="26" s="1"/>
  <c r="C80" i="26"/>
  <c r="B11" i="34" s="1"/>
  <c r="E11" i="34" s="1"/>
  <c r="B39" i="34"/>
  <c r="F39" i="34" s="1"/>
  <c r="C129" i="26"/>
  <c r="C130" i="26" s="1"/>
  <c r="D20" i="35" s="1"/>
  <c r="D48" i="35" s="1"/>
  <c r="C117" i="28"/>
  <c r="C130" i="28" s="1"/>
  <c r="C71" i="28" s="1"/>
  <c r="R131" i="19"/>
  <c r="F75" i="19"/>
  <c r="C75" i="28" s="1"/>
  <c r="F60" i="34"/>
  <c r="G60" i="34" s="1"/>
  <c r="H60" i="34" s="1"/>
  <c r="I60" i="34" s="1"/>
  <c r="J60" i="34" s="1"/>
  <c r="K60" i="34" s="1"/>
  <c r="L60" i="34" s="1"/>
  <c r="M60" i="34" s="1"/>
  <c r="N60" i="34" s="1"/>
  <c r="O60" i="34" s="1"/>
  <c r="P60" i="34" s="1"/>
  <c r="D60" i="34"/>
  <c r="N198" i="19"/>
  <c r="F198" i="19"/>
  <c r="F88" i="19"/>
  <c r="C5" i="28"/>
  <c r="D17" i="29"/>
  <c r="D61" i="29"/>
  <c r="D19" i="29"/>
  <c r="D63" i="29"/>
  <c r="D26" i="34"/>
  <c r="C26" i="34" s="1"/>
  <c r="J100" i="33"/>
  <c r="E52" i="34"/>
  <c r="F52" i="34" s="1"/>
  <c r="G52" i="34" s="1"/>
  <c r="H52" i="34" s="1"/>
  <c r="I52" i="34" s="1"/>
  <c r="J52" i="34" s="1"/>
  <c r="K52" i="34" s="1"/>
  <c r="L52" i="34" s="1"/>
  <c r="M52" i="34" s="1"/>
  <c r="N52" i="34" s="1"/>
  <c r="O52" i="34" s="1"/>
  <c r="P52" i="34" s="1"/>
  <c r="F61" i="34"/>
  <c r="G61" i="34" s="1"/>
  <c r="H61" i="34" s="1"/>
  <c r="I61" i="34" s="1"/>
  <c r="J61" i="34" s="1"/>
  <c r="K61" i="34" s="1"/>
  <c r="L61" i="34" s="1"/>
  <c r="M61" i="34" s="1"/>
  <c r="N61" i="34" s="1"/>
  <c r="O61" i="34" s="1"/>
  <c r="P61" i="34" s="1"/>
  <c r="E53" i="34"/>
  <c r="F53" i="34" s="1"/>
  <c r="G53" i="34" s="1"/>
  <c r="H53" i="34" s="1"/>
  <c r="I53" i="34" s="1"/>
  <c r="J53" i="34" s="1"/>
  <c r="K53" i="34" s="1"/>
  <c r="L53" i="34" s="1"/>
  <c r="M53" i="34" s="1"/>
  <c r="N53" i="34" s="1"/>
  <c r="O53" i="34" s="1"/>
  <c r="P53" i="34" s="1"/>
  <c r="G25" i="34"/>
  <c r="F42" i="34"/>
  <c r="F41" i="34"/>
  <c r="E55" i="34"/>
  <c r="E4" i="34"/>
  <c r="J43" i="34"/>
  <c r="G43" i="34"/>
  <c r="F64" i="34"/>
  <c r="G64" i="34" s="1"/>
  <c r="H64" i="34" s="1"/>
  <c r="I64" i="34" s="1"/>
  <c r="J64" i="34" s="1"/>
  <c r="K64" i="34" s="1"/>
  <c r="L64" i="34" s="1"/>
  <c r="M64" i="34" s="1"/>
  <c r="N64" i="34" s="1"/>
  <c r="O64" i="34" s="1"/>
  <c r="P64" i="34" s="1"/>
  <c r="E51" i="34"/>
  <c r="I101" i="33"/>
  <c r="L24" i="33"/>
  <c r="K40" i="33"/>
  <c r="K41" i="33"/>
  <c r="K100" i="33" s="1"/>
  <c r="K4" i="33"/>
  <c r="J16" i="33"/>
  <c r="N46" i="34"/>
  <c r="D240" i="27"/>
  <c r="E236" i="27"/>
  <c r="E239" i="27" s="1"/>
  <c r="D20" i="29"/>
  <c r="D64" i="29"/>
  <c r="D51" i="29"/>
  <c r="J51" i="29" s="1"/>
  <c r="D75" i="30"/>
  <c r="D85" i="30" s="1"/>
  <c r="D129" i="30" s="1"/>
  <c r="D137" i="30" s="1"/>
  <c r="D138" i="30" s="1"/>
  <c r="J19" i="26"/>
  <c r="D23" i="29"/>
  <c r="D67" i="29"/>
  <c r="R91" i="19"/>
  <c r="C91" i="26" s="1"/>
  <c r="C78" i="26"/>
  <c r="B7" i="34" s="1"/>
  <c r="C19" i="26"/>
  <c r="D53" i="30" s="1"/>
  <c r="Q25" i="19"/>
  <c r="R25" i="19" s="1"/>
  <c r="C25" i="26" s="1"/>
  <c r="F161" i="19"/>
  <c r="C161" i="28" s="1"/>
  <c r="N161" i="19"/>
  <c r="R161" i="19" s="1"/>
  <c r="C161" i="26" s="1"/>
  <c r="B66" i="34" s="1"/>
  <c r="E66" i="34" s="1"/>
  <c r="P153" i="19"/>
  <c r="F153" i="19"/>
  <c r="C153" i="28" s="1"/>
  <c r="D165" i="19"/>
  <c r="F147" i="19"/>
  <c r="N147" i="19"/>
  <c r="R147" i="19" s="1"/>
  <c r="C147" i="26" s="1"/>
  <c r="B54" i="34" s="1"/>
  <c r="F76" i="19"/>
  <c r="N76" i="19"/>
  <c r="O137" i="19"/>
  <c r="O138" i="19" s="1"/>
  <c r="O205" i="19" s="1"/>
  <c r="O218" i="19" s="1"/>
  <c r="O219" i="19" s="1"/>
  <c r="N88" i="19"/>
  <c r="R5" i="19"/>
  <c r="N89" i="19"/>
  <c r="F162" i="19"/>
  <c r="N162" i="19"/>
  <c r="R162" i="19" s="1"/>
  <c r="C162" i="26" s="1"/>
  <c r="B67" i="34" s="1"/>
  <c r="E67" i="34" s="1"/>
  <c r="R140" i="19"/>
  <c r="C140" i="26" s="1"/>
  <c r="B47" i="34" s="1"/>
  <c r="Q77" i="19"/>
  <c r="E90" i="19"/>
  <c r="E100" i="19" s="1"/>
  <c r="E87" i="19"/>
  <c r="F77" i="19"/>
  <c r="D205" i="19"/>
  <c r="D218" i="19" s="1"/>
  <c r="D219" i="19" s="1"/>
  <c r="F163" i="19"/>
  <c r="C163" i="28" s="1"/>
  <c r="N163" i="19"/>
  <c r="R163" i="19" s="1"/>
  <c r="C163" i="26" s="1"/>
  <c r="B68" i="34" s="1"/>
  <c r="E68" i="34" s="1"/>
  <c r="B87" i="19"/>
  <c r="Q181" i="19"/>
  <c r="E190" i="19"/>
  <c r="E205" i="19" s="1"/>
  <c r="E218" i="19" s="1"/>
  <c r="E219" i="19" s="1"/>
  <c r="F181" i="19"/>
  <c r="R129" i="19"/>
  <c r="R130" i="19" s="1"/>
  <c r="F132" i="19"/>
  <c r="C132" i="28" s="1"/>
  <c r="C137" i="28" s="1"/>
  <c r="B137" i="19"/>
  <c r="B138" i="19" s="1"/>
  <c r="B165" i="19"/>
  <c r="C138" i="28" l="1"/>
  <c r="C71" i="26"/>
  <c r="F11" i="34"/>
  <c r="G11" i="34" s="1"/>
  <c r="H11" i="34" s="1"/>
  <c r="I11" i="34" s="1"/>
  <c r="J11" i="34" s="1"/>
  <c r="K11" i="34" s="1"/>
  <c r="L11" i="34" s="1"/>
  <c r="M11" i="34" s="1"/>
  <c r="N11" i="34" s="1"/>
  <c r="O11" i="34" s="1"/>
  <c r="P11" i="34" s="1"/>
  <c r="F12" i="34"/>
  <c r="G12" i="34" s="1"/>
  <c r="H12" i="34" s="1"/>
  <c r="I12" i="34" s="1"/>
  <c r="J12" i="34" s="1"/>
  <c r="K12" i="34" s="1"/>
  <c r="L12" i="34" s="1"/>
  <c r="M12" i="34" s="1"/>
  <c r="N12" i="34" s="1"/>
  <c r="O12" i="34" s="1"/>
  <c r="P12" i="34" s="1"/>
  <c r="D12" i="34"/>
  <c r="C12" i="34" s="1"/>
  <c r="F13" i="34"/>
  <c r="G13" i="34" s="1"/>
  <c r="H13" i="34" s="1"/>
  <c r="I13" i="34" s="1"/>
  <c r="J13" i="34" s="1"/>
  <c r="K13" i="34" s="1"/>
  <c r="L13" i="34" s="1"/>
  <c r="M13" i="34" s="1"/>
  <c r="N13" i="34" s="1"/>
  <c r="O13" i="34" s="1"/>
  <c r="P13" i="34" s="1"/>
  <c r="G8" i="34"/>
  <c r="J8" i="34"/>
  <c r="P8" i="34"/>
  <c r="I8" i="34"/>
  <c r="L8" i="34"/>
  <c r="H8" i="34"/>
  <c r="M8" i="34"/>
  <c r="O8" i="34"/>
  <c r="N8" i="34"/>
  <c r="K8" i="34"/>
  <c r="C70" i="26"/>
  <c r="J110" i="26"/>
  <c r="G39" i="34"/>
  <c r="H39" i="34" s="1"/>
  <c r="I39" i="34" s="1"/>
  <c r="J39" i="34" s="1"/>
  <c r="K39" i="34" s="1"/>
  <c r="L39" i="34" s="1"/>
  <c r="M39" i="34" s="1"/>
  <c r="N39" i="34" s="1"/>
  <c r="O39" i="34" s="1"/>
  <c r="P39" i="34" s="1"/>
  <c r="D39" i="34"/>
  <c r="C39" i="34" s="1"/>
  <c r="C70" i="28"/>
  <c r="D61" i="34"/>
  <c r="C61" i="34" s="1"/>
  <c r="F150" i="19"/>
  <c r="C147" i="28"/>
  <c r="C150" i="28" s="1"/>
  <c r="R198" i="19"/>
  <c r="N203" i="19"/>
  <c r="F190" i="19"/>
  <c r="C181" i="28"/>
  <c r="C190" i="28" s="1"/>
  <c r="F90" i="19"/>
  <c r="C90" i="28" s="1"/>
  <c r="C100" i="28" s="1"/>
  <c r="C77" i="28"/>
  <c r="F100" i="19"/>
  <c r="C88" i="28"/>
  <c r="D64" i="34"/>
  <c r="C64" i="34" s="1"/>
  <c r="C198" i="28"/>
  <c r="C203" i="28" s="1"/>
  <c r="F203" i="19"/>
  <c r="J101" i="33"/>
  <c r="F68" i="34"/>
  <c r="G68" i="34" s="1"/>
  <c r="H68" i="34" s="1"/>
  <c r="I68" i="34" s="1"/>
  <c r="J68" i="34" s="1"/>
  <c r="K68" i="34" s="1"/>
  <c r="L68" i="34" s="1"/>
  <c r="M68" i="34" s="1"/>
  <c r="N68" i="34" s="1"/>
  <c r="O68" i="34" s="1"/>
  <c r="P68" i="34" s="1"/>
  <c r="D68" i="34"/>
  <c r="C68" i="34" s="1"/>
  <c r="E47" i="34"/>
  <c r="F47" i="34"/>
  <c r="L7" i="34"/>
  <c r="N7" i="34"/>
  <c r="H7" i="34"/>
  <c r="I7" i="34"/>
  <c r="P7" i="34"/>
  <c r="J7" i="34"/>
  <c r="O7" i="34"/>
  <c r="M7" i="34"/>
  <c r="K7" i="34"/>
  <c r="G7" i="34"/>
  <c r="F67" i="34"/>
  <c r="G67" i="34" s="1"/>
  <c r="H67" i="34" s="1"/>
  <c r="I67" i="34" s="1"/>
  <c r="J67" i="34" s="1"/>
  <c r="K67" i="34" s="1"/>
  <c r="L67" i="34" s="1"/>
  <c r="M67" i="34" s="1"/>
  <c r="N67" i="34" s="1"/>
  <c r="O67" i="34" s="1"/>
  <c r="P67" i="34" s="1"/>
  <c r="E54" i="34"/>
  <c r="F54" i="34" s="1"/>
  <c r="G54" i="34" s="1"/>
  <c r="H54" i="34" s="1"/>
  <c r="I54" i="34" s="1"/>
  <c r="J54" i="34" s="1"/>
  <c r="K54" i="34" s="1"/>
  <c r="L54" i="34" s="1"/>
  <c r="M54" i="34" s="1"/>
  <c r="N54" i="34" s="1"/>
  <c r="O54" i="34" s="1"/>
  <c r="P54" i="34" s="1"/>
  <c r="F4" i="34"/>
  <c r="H25" i="34"/>
  <c r="G42" i="34"/>
  <c r="G41" i="34"/>
  <c r="F66" i="34"/>
  <c r="G66" i="34" s="1"/>
  <c r="H66" i="34" s="1"/>
  <c r="I66" i="34" s="1"/>
  <c r="J66" i="34" s="1"/>
  <c r="K66" i="34" s="1"/>
  <c r="L66" i="34" s="1"/>
  <c r="M66" i="34" s="1"/>
  <c r="N66" i="34" s="1"/>
  <c r="O66" i="34" s="1"/>
  <c r="P66" i="34" s="1"/>
  <c r="F51" i="34"/>
  <c r="G51" i="34" s="1"/>
  <c r="H51" i="34" s="1"/>
  <c r="I51" i="34" s="1"/>
  <c r="J51" i="34" s="1"/>
  <c r="K51" i="34" s="1"/>
  <c r="L51" i="34" s="1"/>
  <c r="M51" i="34" s="1"/>
  <c r="N51" i="34" s="1"/>
  <c r="O51" i="34" s="1"/>
  <c r="P51" i="34" s="1"/>
  <c r="D43" i="34"/>
  <c r="C43" i="34" s="1"/>
  <c r="F55" i="34"/>
  <c r="G55" i="34" s="1"/>
  <c r="H55" i="34" s="1"/>
  <c r="I55" i="34" s="1"/>
  <c r="J55" i="34" s="1"/>
  <c r="K55" i="34" s="1"/>
  <c r="L55" i="34" s="1"/>
  <c r="M55" i="34" s="1"/>
  <c r="N55" i="34" s="1"/>
  <c r="O55" i="34" s="1"/>
  <c r="P55" i="34" s="1"/>
  <c r="D53" i="34"/>
  <c r="C53" i="34" s="1"/>
  <c r="D52" i="34"/>
  <c r="C52" i="34" s="1"/>
  <c r="L4" i="33"/>
  <c r="K16" i="33"/>
  <c r="M24" i="33"/>
  <c r="L40" i="33"/>
  <c r="L41" i="33"/>
  <c r="K101" i="33"/>
  <c r="O46" i="34"/>
  <c r="D46" i="34" s="1"/>
  <c r="F236" i="27"/>
  <c r="F239" i="27" s="1"/>
  <c r="E240" i="27"/>
  <c r="F137" i="19"/>
  <c r="F138" i="19" s="1"/>
  <c r="D30" i="29"/>
  <c r="J30" i="29" s="1"/>
  <c r="C150" i="26"/>
  <c r="D74" i="29"/>
  <c r="J74" i="29" s="1"/>
  <c r="F165" i="19"/>
  <c r="C162" i="28"/>
  <c r="C165" i="28" s="1"/>
  <c r="F87" i="19"/>
  <c r="F72" i="19" s="1"/>
  <c r="C76" i="28"/>
  <c r="C87" i="28" s="1"/>
  <c r="C72" i="28" s="1"/>
  <c r="R88" i="19"/>
  <c r="C5" i="26"/>
  <c r="N165" i="19"/>
  <c r="R70" i="19"/>
  <c r="C131" i="26"/>
  <c r="C132" i="26"/>
  <c r="B42" i="34" s="1"/>
  <c r="R71" i="19"/>
  <c r="Q190" i="19"/>
  <c r="Q205" i="19" s="1"/>
  <c r="R181" i="19"/>
  <c r="R150" i="19"/>
  <c r="N100" i="19"/>
  <c r="R76" i="19"/>
  <c r="C76" i="26" s="1"/>
  <c r="B5" i="34" s="1"/>
  <c r="N87" i="19"/>
  <c r="P165" i="19"/>
  <c r="P205" i="19" s="1"/>
  <c r="P218" i="19" s="1"/>
  <c r="P219" i="19" s="1"/>
  <c r="R153" i="19"/>
  <c r="N150" i="19"/>
  <c r="Q90" i="19"/>
  <c r="Q100" i="19" s="1"/>
  <c r="Q87" i="19"/>
  <c r="R77" i="19"/>
  <c r="B205" i="19"/>
  <c r="B218" i="19" s="1"/>
  <c r="B219" i="19" s="1"/>
  <c r="B89" i="10"/>
  <c r="F205" i="19" l="1"/>
  <c r="F218" i="19" s="1"/>
  <c r="F219" i="19" s="1"/>
  <c r="D8" i="34"/>
  <c r="C8" i="34" s="1"/>
  <c r="D13" i="34"/>
  <c r="D11" i="34"/>
  <c r="C205" i="28"/>
  <c r="C218" i="28" s="1"/>
  <c r="C219" i="28" s="1"/>
  <c r="D67" i="34"/>
  <c r="C67" i="34" s="1"/>
  <c r="R203" i="19"/>
  <c r="C198" i="26"/>
  <c r="D66" i="34"/>
  <c r="C66" i="34" s="1"/>
  <c r="D51" i="34"/>
  <c r="C51" i="34" s="1"/>
  <c r="D55" i="34"/>
  <c r="C55" i="34" s="1"/>
  <c r="D7" i="34"/>
  <c r="C7" i="34" s="1"/>
  <c r="L100" i="33"/>
  <c r="G47" i="34"/>
  <c r="D47" i="34" s="1"/>
  <c r="C47" i="34" s="1"/>
  <c r="I25" i="34"/>
  <c r="H42" i="34"/>
  <c r="H41" i="34"/>
  <c r="D54" i="34"/>
  <c r="C54" i="34" s="1"/>
  <c r="E102" i="34"/>
  <c r="E5" i="34"/>
  <c r="G4" i="34"/>
  <c r="N24" i="33"/>
  <c r="M41" i="33"/>
  <c r="M40" i="33"/>
  <c r="M4" i="33"/>
  <c r="L16" i="33"/>
  <c r="C46" i="34"/>
  <c r="D49" i="35"/>
  <c r="D50" i="35" s="1"/>
  <c r="D53" i="35" s="1"/>
  <c r="B41" i="34"/>
  <c r="G236" i="27"/>
  <c r="G239" i="27" s="1"/>
  <c r="G240" i="27" s="1"/>
  <c r="F240" i="27"/>
  <c r="J112" i="26"/>
  <c r="C137" i="26"/>
  <c r="C138" i="26" s="1"/>
  <c r="N205" i="19"/>
  <c r="N218" i="19" s="1"/>
  <c r="N219" i="19" s="1"/>
  <c r="Q218" i="19"/>
  <c r="Q219" i="19" s="1"/>
  <c r="R190" i="19"/>
  <c r="C181" i="26"/>
  <c r="B79" i="34" s="1"/>
  <c r="F79" i="34" s="1"/>
  <c r="R90" i="19"/>
  <c r="C90" i="26" s="1"/>
  <c r="C77" i="26"/>
  <c r="R165" i="19"/>
  <c r="C153" i="26"/>
  <c r="B58" i="34" s="1"/>
  <c r="F58" i="34" s="1"/>
  <c r="R100" i="19"/>
  <c r="C88" i="26"/>
  <c r="C100" i="26" s="1"/>
  <c r="R87" i="19"/>
  <c r="R72" i="19" s="1"/>
  <c r="R137" i="19"/>
  <c r="R138" i="19" s="1"/>
  <c r="F69" i="19" l="1"/>
  <c r="C69" i="28"/>
  <c r="C203" i="26"/>
  <c r="B93" i="34"/>
  <c r="F93" i="34" s="1"/>
  <c r="G93" i="34" s="1"/>
  <c r="H93" i="34" s="1"/>
  <c r="I93" i="34" s="1"/>
  <c r="J93" i="34" s="1"/>
  <c r="K93" i="34" s="1"/>
  <c r="L93" i="34" s="1"/>
  <c r="M93" i="34" s="1"/>
  <c r="N93" i="34" s="1"/>
  <c r="O93" i="34" s="1"/>
  <c r="P93" i="34" s="1"/>
  <c r="M100" i="33"/>
  <c r="L101" i="33"/>
  <c r="G58" i="34"/>
  <c r="H58" i="34" s="1"/>
  <c r="G79" i="34"/>
  <c r="H79" i="34" s="1"/>
  <c r="I79" i="34" s="1"/>
  <c r="J79" i="34" s="1"/>
  <c r="K79" i="34" s="1"/>
  <c r="L79" i="34" s="1"/>
  <c r="M79" i="34" s="1"/>
  <c r="N79" i="34" s="1"/>
  <c r="O79" i="34" s="1"/>
  <c r="P79" i="34" s="1"/>
  <c r="H4" i="34"/>
  <c r="C87" i="26"/>
  <c r="C72" i="26" s="1"/>
  <c r="B6" i="34"/>
  <c r="F5" i="34"/>
  <c r="E17" i="34"/>
  <c r="E103" i="34" s="1"/>
  <c r="E104" i="34" s="1"/>
  <c r="J25" i="34"/>
  <c r="I41" i="34"/>
  <c r="I42" i="34"/>
  <c r="M16" i="33"/>
  <c r="N4" i="33"/>
  <c r="O24" i="33"/>
  <c r="N41" i="33"/>
  <c r="N40" i="33"/>
  <c r="B102" i="34"/>
  <c r="C223" i="28"/>
  <c r="C165" i="26"/>
  <c r="C190" i="26"/>
  <c r="J114" i="26"/>
  <c r="J115" i="26"/>
  <c r="R205" i="19"/>
  <c r="R218" i="19" s="1"/>
  <c r="C205" i="26" l="1"/>
  <c r="C250" i="26" s="1"/>
  <c r="F102" i="34"/>
  <c r="D93" i="34"/>
  <c r="C93" i="34" s="1"/>
  <c r="M101" i="33"/>
  <c r="N100" i="33"/>
  <c r="C251" i="26"/>
  <c r="G5" i="34"/>
  <c r="F17" i="34"/>
  <c r="K25" i="34"/>
  <c r="J41" i="34"/>
  <c r="J42" i="34"/>
  <c r="K6" i="34"/>
  <c r="J6" i="34"/>
  <c r="G6" i="34"/>
  <c r="M6" i="34"/>
  <c r="L6" i="34"/>
  <c r="H6" i="34"/>
  <c r="N6" i="34"/>
  <c r="I6" i="34"/>
  <c r="P6" i="34"/>
  <c r="O6" i="34"/>
  <c r="B17" i="34"/>
  <c r="I58" i="34"/>
  <c r="H102" i="34"/>
  <c r="I4" i="34"/>
  <c r="D79" i="34"/>
  <c r="C79" i="34" s="1"/>
  <c r="G102" i="34"/>
  <c r="P24" i="33"/>
  <c r="O41" i="33"/>
  <c r="O40" i="33"/>
  <c r="N16" i="33"/>
  <c r="O4" i="33"/>
  <c r="C246" i="26"/>
  <c r="C252" i="26"/>
  <c r="C254" i="26"/>
  <c r="C256" i="26"/>
  <c r="J137" i="26"/>
  <c r="C218" i="26"/>
  <c r="R69" i="19"/>
  <c r="R219" i="19"/>
  <c r="C253" i="26" l="1"/>
  <c r="C257" i="26"/>
  <c r="C248" i="26"/>
  <c r="C226" i="26"/>
  <c r="C233" i="26" s="1"/>
  <c r="C245" i="26"/>
  <c r="C69" i="26"/>
  <c r="C247" i="26"/>
  <c r="C249" i="26"/>
  <c r="C255" i="26"/>
  <c r="C244" i="26"/>
  <c r="C243" i="26"/>
  <c r="N101" i="33"/>
  <c r="O100" i="33"/>
  <c r="D6" i="34"/>
  <c r="C6" i="34" s="1"/>
  <c r="F103" i="34"/>
  <c r="F104" i="34" s="1"/>
  <c r="H5" i="34"/>
  <c r="G17" i="34"/>
  <c r="G103" i="34" s="1"/>
  <c r="J58" i="34"/>
  <c r="L25" i="34"/>
  <c r="K42" i="34"/>
  <c r="K41" i="34"/>
  <c r="J4" i="34"/>
  <c r="I102" i="34"/>
  <c r="P4" i="33"/>
  <c r="O16" i="33"/>
  <c r="P41" i="33"/>
  <c r="D41" i="33" s="1"/>
  <c r="C41" i="33" s="1"/>
  <c r="P40" i="33"/>
  <c r="D40" i="33" s="1"/>
  <c r="C40" i="33" s="1"/>
  <c r="D24" i="33"/>
  <c r="C24" i="33" s="1"/>
  <c r="C219" i="26"/>
  <c r="C238" i="26"/>
  <c r="C223" i="26"/>
  <c r="F15" i="12"/>
  <c r="N15" i="12" s="1"/>
  <c r="F14" i="12"/>
  <c r="N14" i="12" s="1"/>
  <c r="F13" i="12"/>
  <c r="E13" i="12"/>
  <c r="N13" i="12" s="1"/>
  <c r="F12" i="12"/>
  <c r="E12" i="12"/>
  <c r="D12" i="12"/>
  <c r="F11" i="12"/>
  <c r="E11" i="12"/>
  <c r="D11" i="12"/>
  <c r="C11" i="12"/>
  <c r="E10" i="12"/>
  <c r="D10" i="12"/>
  <c r="C10" i="12"/>
  <c r="N10" i="12" s="1"/>
  <c r="E9" i="12"/>
  <c r="D9" i="12"/>
  <c r="C9" i="12"/>
  <c r="N9" i="12" s="1"/>
  <c r="D8" i="12"/>
  <c r="C8" i="12"/>
  <c r="F4" i="12"/>
  <c r="C135" i="10"/>
  <c r="C128" i="10"/>
  <c r="D221" i="10"/>
  <c r="D203" i="10"/>
  <c r="D190" i="10"/>
  <c r="D180" i="10"/>
  <c r="D191" i="10" s="1"/>
  <c r="D179" i="10"/>
  <c r="D174" i="10"/>
  <c r="D165" i="10"/>
  <c r="D151" i="10"/>
  <c r="D166" i="10" s="1"/>
  <c r="D148" i="10"/>
  <c r="D147" i="10"/>
  <c r="D146" i="10"/>
  <c r="D144" i="10"/>
  <c r="D139" i="10"/>
  <c r="D127" i="10"/>
  <c r="D129" i="10" s="1"/>
  <c r="D118" i="10"/>
  <c r="D116" i="10"/>
  <c r="D102" i="10"/>
  <c r="D99" i="10"/>
  <c r="D98" i="10"/>
  <c r="D97" i="10"/>
  <c r="D96" i="10"/>
  <c r="D89" i="10"/>
  <c r="D88" i="10"/>
  <c r="D95" i="10"/>
  <c r="D94" i="10"/>
  <c r="D93" i="10"/>
  <c r="D79" i="10"/>
  <c r="D92" i="10" s="1"/>
  <c r="D78" i="10"/>
  <c r="D91" i="10" s="1"/>
  <c r="D76" i="10"/>
  <c r="D75" i="10"/>
  <c r="D74" i="10"/>
  <c r="D63" i="10"/>
  <c r="D66" i="10" s="1"/>
  <c r="D39" i="10"/>
  <c r="D136" i="10" s="1"/>
  <c r="C259" i="26" l="1"/>
  <c r="O101" i="33"/>
  <c r="G104" i="34"/>
  <c r="K58" i="34"/>
  <c r="J102" i="34"/>
  <c r="I5" i="34"/>
  <c r="H17" i="34"/>
  <c r="H103" i="34" s="1"/>
  <c r="K4" i="34"/>
  <c r="M25" i="34"/>
  <c r="L42" i="34"/>
  <c r="L41" i="34"/>
  <c r="P100" i="33"/>
  <c r="P16" i="33"/>
  <c r="D16" i="33" s="1"/>
  <c r="D4" i="33"/>
  <c r="C4" i="33" s="1"/>
  <c r="C16" i="33" s="1"/>
  <c r="D150" i="10"/>
  <c r="N8" i="12"/>
  <c r="N11" i="12"/>
  <c r="N12" i="12"/>
  <c r="D117" i="10"/>
  <c r="D130" i="10" s="1"/>
  <c r="D67" i="10"/>
  <c r="E89" i="10"/>
  <c r="H104" i="34" l="1"/>
  <c r="D131" i="10"/>
  <c r="D137" i="10" s="1"/>
  <c r="D138" i="10" s="1"/>
  <c r="D205" i="10" s="1"/>
  <c r="P101" i="33"/>
  <c r="L4" i="34"/>
  <c r="J5" i="34"/>
  <c r="I17" i="34"/>
  <c r="I103" i="34" s="1"/>
  <c r="I104" i="34" s="1"/>
  <c r="L58" i="34"/>
  <c r="K102" i="34"/>
  <c r="N25" i="34"/>
  <c r="M41" i="34"/>
  <c r="M42" i="34"/>
  <c r="G89" i="10"/>
  <c r="B89" i="26" l="1"/>
  <c r="B89" i="28"/>
  <c r="O25" i="34"/>
  <c r="N42" i="34"/>
  <c r="N41" i="34"/>
  <c r="K5" i="34"/>
  <c r="J17" i="34"/>
  <c r="J103" i="34" s="1"/>
  <c r="J104" i="34" s="1"/>
  <c r="M4" i="34"/>
  <c r="M58" i="34"/>
  <c r="L102" i="34"/>
  <c r="G3" i="10"/>
  <c r="E190" i="10"/>
  <c r="E179" i="10"/>
  <c r="E174" i="10"/>
  <c r="N58" i="34" l="1"/>
  <c r="M102" i="34"/>
  <c r="L5" i="34"/>
  <c r="K17" i="34"/>
  <c r="K103" i="34" s="1"/>
  <c r="K104" i="34" s="1"/>
  <c r="N4" i="34"/>
  <c r="P25" i="34"/>
  <c r="O42" i="34"/>
  <c r="O41" i="34"/>
  <c r="B3" i="28"/>
  <c r="B3" i="26"/>
  <c r="G184" i="10"/>
  <c r="F150" i="10"/>
  <c r="E139" i="10"/>
  <c r="E221" i="10"/>
  <c r="G208" i="10"/>
  <c r="G209" i="10"/>
  <c r="B209" i="26" s="1"/>
  <c r="G210" i="10"/>
  <c r="B210" i="26" s="1"/>
  <c r="G211" i="10"/>
  <c r="B211" i="26" s="1"/>
  <c r="G212" i="10"/>
  <c r="B212" i="26" s="1"/>
  <c r="G213" i="10"/>
  <c r="B213" i="26" s="1"/>
  <c r="G214" i="10"/>
  <c r="B214" i="26" s="1"/>
  <c r="G215" i="10"/>
  <c r="B215" i="26" s="1"/>
  <c r="G216" i="10"/>
  <c r="B216" i="26" s="1"/>
  <c r="G207" i="10"/>
  <c r="G193" i="10"/>
  <c r="G194" i="10"/>
  <c r="G196" i="10"/>
  <c r="G199" i="10"/>
  <c r="G200" i="10"/>
  <c r="G201" i="10"/>
  <c r="G202" i="10"/>
  <c r="G192" i="10"/>
  <c r="G182" i="10"/>
  <c r="G183" i="10"/>
  <c r="G185" i="10"/>
  <c r="G187" i="10"/>
  <c r="B187" i="26" s="1"/>
  <c r="G188" i="10"/>
  <c r="B188" i="26" s="1"/>
  <c r="G189" i="10"/>
  <c r="B189" i="26" s="1"/>
  <c r="G169" i="10"/>
  <c r="G170" i="10"/>
  <c r="G171" i="10"/>
  <c r="G172" i="10"/>
  <c r="G157" i="10"/>
  <c r="G158" i="10"/>
  <c r="G160" i="10"/>
  <c r="G141" i="10"/>
  <c r="G142" i="10"/>
  <c r="G143" i="10"/>
  <c r="G120" i="10"/>
  <c r="B120" i="26" s="1"/>
  <c r="G121" i="10"/>
  <c r="G122" i="10"/>
  <c r="B122" i="26" s="1"/>
  <c r="G123" i="10"/>
  <c r="B123" i="26" s="1"/>
  <c r="G124" i="10"/>
  <c r="B124" i="26" s="1"/>
  <c r="G125" i="10"/>
  <c r="G126" i="10"/>
  <c r="B126" i="26" s="1"/>
  <c r="G119" i="10"/>
  <c r="B119" i="26" s="1"/>
  <c r="G105" i="10"/>
  <c r="G106" i="10"/>
  <c r="G107" i="10"/>
  <c r="G108" i="10"/>
  <c r="G110" i="10"/>
  <c r="G104" i="10"/>
  <c r="G42" i="10"/>
  <c r="B42" i="26" s="1"/>
  <c r="G30" i="10"/>
  <c r="G31" i="10"/>
  <c r="G32" i="10"/>
  <c r="G33" i="10"/>
  <c r="G34" i="10"/>
  <c r="G35" i="10"/>
  <c r="G36" i="10"/>
  <c r="G37" i="10"/>
  <c r="G38" i="10"/>
  <c r="G29" i="10"/>
  <c r="E129" i="10"/>
  <c r="E203" i="10"/>
  <c r="E180" i="10"/>
  <c r="E191" i="10" s="1"/>
  <c r="E151" i="10"/>
  <c r="E166" i="10" s="1"/>
  <c r="E150" i="10"/>
  <c r="E99" i="10"/>
  <c r="E98" i="10"/>
  <c r="E97" i="10"/>
  <c r="E96" i="10"/>
  <c r="E95" i="10"/>
  <c r="E94" i="10"/>
  <c r="E93" i="10"/>
  <c r="E90" i="10"/>
  <c r="E88" i="10"/>
  <c r="E63" i="10"/>
  <c r="E66" i="10" s="1"/>
  <c r="F63" i="10"/>
  <c r="F66" i="10" s="1"/>
  <c r="E39" i="10"/>
  <c r="F39" i="10"/>
  <c r="E102" i="10"/>
  <c r="E118" i="10"/>
  <c r="F117" i="10"/>
  <c r="E92" i="10"/>
  <c r="G23" i="10"/>
  <c r="G24" i="10"/>
  <c r="G25" i="10"/>
  <c r="G27" i="10"/>
  <c r="B27" i="26" s="1"/>
  <c r="G22" i="10"/>
  <c r="F151" i="10"/>
  <c r="F166" i="10" s="1"/>
  <c r="G151" i="10"/>
  <c r="G166" i="10" s="1"/>
  <c r="C151" i="10"/>
  <c r="C166" i="10" s="1"/>
  <c r="F139" i="10"/>
  <c r="G139" i="10"/>
  <c r="C139" i="10"/>
  <c r="F118" i="10"/>
  <c r="G118" i="10"/>
  <c r="C118" i="10"/>
  <c r="F74" i="10"/>
  <c r="C74" i="10"/>
  <c r="F102" i="10"/>
  <c r="F88" i="10"/>
  <c r="F89" i="10"/>
  <c r="F91" i="10"/>
  <c r="F92" i="10"/>
  <c r="F93" i="10"/>
  <c r="F94" i="10"/>
  <c r="F95" i="10"/>
  <c r="F96" i="10"/>
  <c r="F97" i="10"/>
  <c r="F98" i="10"/>
  <c r="F99" i="10"/>
  <c r="F221" i="10"/>
  <c r="F165" i="10"/>
  <c r="F174" i="10"/>
  <c r="F179" i="10"/>
  <c r="F203" i="10"/>
  <c r="G152" i="10"/>
  <c r="F180" i="10"/>
  <c r="F191" i="10" s="1"/>
  <c r="G115" i="10"/>
  <c r="G83" i="10"/>
  <c r="G84" i="10"/>
  <c r="G85" i="10"/>
  <c r="G86" i="10"/>
  <c r="G61" i="10"/>
  <c r="G43" i="10"/>
  <c r="G44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2" i="10"/>
  <c r="G15" i="10"/>
  <c r="G16" i="10"/>
  <c r="G17" i="10"/>
  <c r="G18" i="10"/>
  <c r="G2" i="10"/>
  <c r="G221" i="10"/>
  <c r="G180" i="10"/>
  <c r="G191" i="10" s="1"/>
  <c r="G135" i="10"/>
  <c r="B135" i="26" s="1"/>
  <c r="G102" i="10"/>
  <c r="B208" i="26" l="1"/>
  <c r="B208" i="28"/>
  <c r="B207" i="26"/>
  <c r="B207" i="28"/>
  <c r="B192" i="26"/>
  <c r="B192" i="28"/>
  <c r="B199" i="26"/>
  <c r="B199" i="28"/>
  <c r="B202" i="26"/>
  <c r="B202" i="28"/>
  <c r="B196" i="26"/>
  <c r="B196" i="28"/>
  <c r="B201" i="26"/>
  <c r="B201" i="28"/>
  <c r="B194" i="26"/>
  <c r="B194" i="28"/>
  <c r="B200" i="26"/>
  <c r="B200" i="28"/>
  <c r="B193" i="26"/>
  <c r="B193" i="28"/>
  <c r="B185" i="26"/>
  <c r="B185" i="28"/>
  <c r="B184" i="26"/>
  <c r="B184" i="28"/>
  <c r="B183" i="26"/>
  <c r="B183" i="28"/>
  <c r="B182" i="26"/>
  <c r="B182" i="28"/>
  <c r="B169" i="26"/>
  <c r="B169" i="28"/>
  <c r="B170" i="26"/>
  <c r="B170" i="28"/>
  <c r="B172" i="26"/>
  <c r="B172" i="28"/>
  <c r="B171" i="26"/>
  <c r="B171" i="28"/>
  <c r="B157" i="26"/>
  <c r="B157" i="28"/>
  <c r="B158" i="26"/>
  <c r="B158" i="28"/>
  <c r="B160" i="26"/>
  <c r="B160" i="28"/>
  <c r="B152" i="26"/>
  <c r="B152" i="28"/>
  <c r="B143" i="26"/>
  <c r="B143" i="28"/>
  <c r="B142" i="26"/>
  <c r="B142" i="28"/>
  <c r="B141" i="26"/>
  <c r="B141" i="28"/>
  <c r="B125" i="26"/>
  <c r="B125" i="28"/>
  <c r="B121" i="26"/>
  <c r="B121" i="28"/>
  <c r="B108" i="26"/>
  <c r="B108" i="28"/>
  <c r="B115" i="26"/>
  <c r="B115" i="28"/>
  <c r="B107" i="26"/>
  <c r="B107" i="28"/>
  <c r="B104" i="26"/>
  <c r="B104" i="28"/>
  <c r="B106" i="26"/>
  <c r="B106" i="28"/>
  <c r="B110" i="26"/>
  <c r="B110" i="28"/>
  <c r="B105" i="26"/>
  <c r="B105" i="28"/>
  <c r="B49" i="26"/>
  <c r="B49" i="28"/>
  <c r="C4" i="35"/>
  <c r="C67" i="30"/>
  <c r="C88" i="30"/>
  <c r="B58" i="26"/>
  <c r="B58" i="28"/>
  <c r="B46" i="26"/>
  <c r="B46" i="28"/>
  <c r="B57" i="26"/>
  <c r="C12" i="35" s="1"/>
  <c r="B57" i="28"/>
  <c r="B60" i="26"/>
  <c r="C79" i="30" s="1"/>
  <c r="B60" i="28"/>
  <c r="B56" i="26"/>
  <c r="B56" i="28"/>
  <c r="B52" i="26"/>
  <c r="B52" i="28"/>
  <c r="B48" i="26"/>
  <c r="B48" i="28"/>
  <c r="B43" i="26"/>
  <c r="B43" i="28"/>
  <c r="B54" i="26"/>
  <c r="C18" i="35" s="1"/>
  <c r="B54" i="28"/>
  <c r="B50" i="26"/>
  <c r="B50" i="28"/>
  <c r="B53" i="26"/>
  <c r="B53" i="28"/>
  <c r="B44" i="26"/>
  <c r="B44" i="28"/>
  <c r="B59" i="26"/>
  <c r="B59" i="28"/>
  <c r="B55" i="26"/>
  <c r="B55" i="28"/>
  <c r="B51" i="26"/>
  <c r="B51" i="28"/>
  <c r="B47" i="26"/>
  <c r="B47" i="28"/>
  <c r="O4" i="34"/>
  <c r="O58" i="34"/>
  <c r="N102" i="34"/>
  <c r="P42" i="34"/>
  <c r="D42" i="34" s="1"/>
  <c r="C42" i="34" s="1"/>
  <c r="P41" i="34"/>
  <c r="D41" i="34" s="1"/>
  <c r="C41" i="34" s="1"/>
  <c r="D25" i="34"/>
  <c r="M5" i="34"/>
  <c r="L17" i="34"/>
  <c r="L103" i="34" s="1"/>
  <c r="L104" i="34" s="1"/>
  <c r="B2" i="26"/>
  <c r="J2" i="26" s="1"/>
  <c r="B2" i="28"/>
  <c r="J2" i="28" s="1"/>
  <c r="B15" i="28"/>
  <c r="B15" i="26"/>
  <c r="G99" i="10"/>
  <c r="B99" i="26" s="1"/>
  <c r="B86" i="26"/>
  <c r="B38" i="28"/>
  <c r="B38" i="26"/>
  <c r="B34" i="28"/>
  <c r="B34" i="26"/>
  <c r="B30" i="28"/>
  <c r="B30" i="26"/>
  <c r="B18" i="28"/>
  <c r="B18" i="26"/>
  <c r="G98" i="10"/>
  <c r="B98" i="26" s="1"/>
  <c r="B85" i="26"/>
  <c r="B25" i="26"/>
  <c r="B25" i="28"/>
  <c r="B37" i="26"/>
  <c r="B37" i="28"/>
  <c r="B33" i="26"/>
  <c r="B33" i="28"/>
  <c r="B42" i="28"/>
  <c r="B17" i="28"/>
  <c r="B17" i="26"/>
  <c r="G97" i="10"/>
  <c r="B97" i="26" s="1"/>
  <c r="B84" i="26"/>
  <c r="B24" i="28"/>
  <c r="B24" i="26"/>
  <c r="B36" i="28"/>
  <c r="B36" i="26"/>
  <c r="B32" i="28"/>
  <c r="B32" i="26"/>
  <c r="B16" i="26"/>
  <c r="B16" i="28"/>
  <c r="G96" i="10"/>
  <c r="B96" i="26" s="1"/>
  <c r="B83" i="26"/>
  <c r="B22" i="28"/>
  <c r="B22" i="26"/>
  <c r="B23" i="28"/>
  <c r="B23" i="26"/>
  <c r="B29" i="26"/>
  <c r="C9" i="35" s="1"/>
  <c r="B29" i="28"/>
  <c r="B35" i="26"/>
  <c r="B35" i="28"/>
  <c r="B31" i="26"/>
  <c r="B31" i="28"/>
  <c r="E65" i="10"/>
  <c r="E67" i="10" s="1"/>
  <c r="E136" i="10"/>
  <c r="F65" i="10"/>
  <c r="F136" i="10"/>
  <c r="E117" i="10"/>
  <c r="E130" i="10" s="1"/>
  <c r="G39" i="10"/>
  <c r="G65" i="10" s="1"/>
  <c r="E87" i="10"/>
  <c r="G127" i="10"/>
  <c r="E91" i="10"/>
  <c r="E100" i="10" s="1"/>
  <c r="G26" i="10"/>
  <c r="G63" i="10"/>
  <c r="F67" i="10"/>
  <c r="C82" i="10"/>
  <c r="G82" i="10" s="1"/>
  <c r="B82" i="28" s="1"/>
  <c r="C81" i="10"/>
  <c r="G81" i="10" s="1"/>
  <c r="B81" i="28" s="1"/>
  <c r="C80" i="10"/>
  <c r="G80" i="10" s="1"/>
  <c r="B80" i="28" s="1"/>
  <c r="B63" i="26" l="1"/>
  <c r="B66" i="26" s="1"/>
  <c r="C17" i="35"/>
  <c r="C105" i="30"/>
  <c r="C84" i="30"/>
  <c r="C13" i="35"/>
  <c r="C101" i="30"/>
  <c r="C80" i="30"/>
  <c r="C73" i="30"/>
  <c r="C94" i="30"/>
  <c r="B127" i="26"/>
  <c r="B127" i="28"/>
  <c r="B129" i="28" s="1"/>
  <c r="B63" i="28"/>
  <c r="B66" i="28" s="1"/>
  <c r="C92" i="30"/>
  <c r="C71" i="30"/>
  <c r="C8" i="35"/>
  <c r="C7" i="35"/>
  <c r="C99" i="30"/>
  <c r="C78" i="30"/>
  <c r="C82" i="30"/>
  <c r="C103" i="30"/>
  <c r="C15" i="35"/>
  <c r="C5" i="35"/>
  <c r="C89" i="30"/>
  <c r="C68" i="30"/>
  <c r="C16" i="35"/>
  <c r="C104" i="30"/>
  <c r="C83" i="30"/>
  <c r="C69" i="30"/>
  <c r="C90" i="30"/>
  <c r="C14" i="35"/>
  <c r="C81" i="30"/>
  <c r="C102" i="30"/>
  <c r="C11" i="35"/>
  <c r="C77" i="30"/>
  <c r="P58" i="34"/>
  <c r="D58" i="34" s="1"/>
  <c r="C58" i="34" s="1"/>
  <c r="O102" i="34"/>
  <c r="N5" i="34"/>
  <c r="M17" i="34"/>
  <c r="M103" i="34" s="1"/>
  <c r="M104" i="34" s="1"/>
  <c r="P102" i="34"/>
  <c r="C25" i="34"/>
  <c r="P4" i="34"/>
  <c r="C10" i="35"/>
  <c r="C97" i="30"/>
  <c r="C47" i="31"/>
  <c r="C47" i="29"/>
  <c r="C48" i="31"/>
  <c r="C48" i="29"/>
  <c r="C49" i="31"/>
  <c r="C49" i="29"/>
  <c r="C50" i="31"/>
  <c r="C50" i="29"/>
  <c r="G94" i="10"/>
  <c r="B81" i="26"/>
  <c r="B26" i="28"/>
  <c r="B26" i="26"/>
  <c r="G95" i="10"/>
  <c r="B82" i="26"/>
  <c r="B39" i="28"/>
  <c r="B65" i="28" s="1"/>
  <c r="G93" i="10"/>
  <c r="B80" i="26"/>
  <c r="G66" i="10"/>
  <c r="G67" i="10" s="1"/>
  <c r="B39" i="26"/>
  <c r="B65" i="26" s="1"/>
  <c r="B67" i="26" s="1"/>
  <c r="E131" i="10"/>
  <c r="E137" i="10" s="1"/>
  <c r="E138" i="10" s="1"/>
  <c r="G7" i="10"/>
  <c r="C102" i="34" l="1"/>
  <c r="B67" i="28"/>
  <c r="C19" i="35"/>
  <c r="C22" i="35" s="1"/>
  <c r="B95" i="26"/>
  <c r="B95" i="28"/>
  <c r="B94" i="26"/>
  <c r="B94" i="28"/>
  <c r="B93" i="26"/>
  <c r="B93" i="28"/>
  <c r="O5" i="34"/>
  <c r="N17" i="34"/>
  <c r="N103" i="34" s="1"/>
  <c r="N104" i="34" s="1"/>
  <c r="D4" i="34"/>
  <c r="C4" i="34" s="1"/>
  <c r="C17" i="34" s="1"/>
  <c r="D102" i="34"/>
  <c r="C71" i="29"/>
  <c r="C27" i="29"/>
  <c r="C73" i="31"/>
  <c r="C29" i="31"/>
  <c r="C71" i="31"/>
  <c r="C27" i="31"/>
  <c r="C73" i="29"/>
  <c r="C29" i="29"/>
  <c r="C72" i="29"/>
  <c r="C28" i="29"/>
  <c r="C70" i="29"/>
  <c r="C26" i="29"/>
  <c r="C28" i="31"/>
  <c r="C72" i="31"/>
  <c r="C26" i="31"/>
  <c r="C51" i="31"/>
  <c r="C70" i="31"/>
  <c r="B7" i="28"/>
  <c r="B7" i="26"/>
  <c r="C221" i="10"/>
  <c r="B221" i="10"/>
  <c r="G197" i="10"/>
  <c r="G195" i="10"/>
  <c r="G186" i="10"/>
  <c r="B186" i="26" s="1"/>
  <c r="C180" i="10"/>
  <c r="C191" i="10" s="1"/>
  <c r="G178" i="10"/>
  <c r="G177" i="10"/>
  <c r="G176" i="10"/>
  <c r="G173" i="10"/>
  <c r="G168" i="10"/>
  <c r="G167" i="10"/>
  <c r="G154" i="10"/>
  <c r="B154" i="26" s="1"/>
  <c r="C148" i="10"/>
  <c r="G148" i="10" s="1"/>
  <c r="G128" i="10"/>
  <c r="B128" i="26" s="1"/>
  <c r="B129" i="26" s="1"/>
  <c r="C116" i="10"/>
  <c r="G116" i="10" s="1"/>
  <c r="G114" i="10"/>
  <c r="G113" i="10"/>
  <c r="G112" i="10"/>
  <c r="G111" i="10"/>
  <c r="C102" i="10"/>
  <c r="C99" i="10"/>
  <c r="C98" i="10"/>
  <c r="C97" i="10"/>
  <c r="A97" i="10"/>
  <c r="C96" i="10"/>
  <c r="C95" i="10"/>
  <c r="A94" i="10"/>
  <c r="A92" i="10"/>
  <c r="C91" i="10"/>
  <c r="A91" i="10"/>
  <c r="A90" i="10"/>
  <c r="A88" i="10"/>
  <c r="C94" i="10"/>
  <c r="C93" i="10"/>
  <c r="C79" i="10"/>
  <c r="G79" i="10" s="1"/>
  <c r="B79" i="28" s="1"/>
  <c r="C78" i="10"/>
  <c r="G78" i="10" s="1"/>
  <c r="B78" i="28" s="1"/>
  <c r="C63" i="10"/>
  <c r="C66" i="10" s="1"/>
  <c r="C39" i="10"/>
  <c r="G14" i="10"/>
  <c r="G13" i="10"/>
  <c r="G12" i="10"/>
  <c r="G11" i="10"/>
  <c r="G10" i="10"/>
  <c r="G8" i="10"/>
  <c r="B195" i="26" l="1"/>
  <c r="B195" i="28"/>
  <c r="B197" i="26"/>
  <c r="B197" i="28"/>
  <c r="B177" i="26"/>
  <c r="B177" i="28"/>
  <c r="B178" i="26"/>
  <c r="B178" i="28"/>
  <c r="B176" i="26"/>
  <c r="B176" i="28"/>
  <c r="B167" i="26"/>
  <c r="B174" i="26" s="1"/>
  <c r="B167" i="28"/>
  <c r="B174" i="28" s="1"/>
  <c r="B168" i="26"/>
  <c r="B168" i="28"/>
  <c r="B173" i="26"/>
  <c r="B173" i="28"/>
  <c r="B112" i="26"/>
  <c r="B112" i="28"/>
  <c r="B116" i="26"/>
  <c r="B116" i="28"/>
  <c r="B114" i="26"/>
  <c r="B114" i="28"/>
  <c r="B113" i="26"/>
  <c r="B113" i="28"/>
  <c r="B111" i="26"/>
  <c r="B111" i="28"/>
  <c r="B148" i="26"/>
  <c r="B148" i="28"/>
  <c r="P5" i="34"/>
  <c r="P17" i="34" s="1"/>
  <c r="O17" i="34"/>
  <c r="O103" i="34" s="1"/>
  <c r="O104" i="34" s="1"/>
  <c r="C30" i="31"/>
  <c r="C74" i="31"/>
  <c r="I7" i="26"/>
  <c r="C39" i="29"/>
  <c r="B12" i="26"/>
  <c r="B12" i="28"/>
  <c r="B8" i="26"/>
  <c r="B8" i="28"/>
  <c r="B13" i="28"/>
  <c r="B13" i="26"/>
  <c r="G91" i="10"/>
  <c r="B78" i="26"/>
  <c r="B10" i="28"/>
  <c r="B10" i="26"/>
  <c r="B14" i="28"/>
  <c r="B14" i="26"/>
  <c r="G92" i="10"/>
  <c r="B79" i="26"/>
  <c r="B11" i="28"/>
  <c r="B11" i="26"/>
  <c r="C117" i="10"/>
  <c r="C65" i="10"/>
  <c r="C67" i="10" s="1"/>
  <c r="G179" i="10"/>
  <c r="G129" i="10"/>
  <c r="G136" i="10"/>
  <c r="C19" i="10"/>
  <c r="G6" i="10"/>
  <c r="C174" i="10"/>
  <c r="G174" i="10"/>
  <c r="C136" i="10"/>
  <c r="C179" i="10"/>
  <c r="C5" i="10"/>
  <c r="C75" i="10" s="1"/>
  <c r="G9" i="10"/>
  <c r="C92" i="10"/>
  <c r="C129" i="10"/>
  <c r="F129" i="10"/>
  <c r="F130" i="10" s="1"/>
  <c r="B179" i="28" l="1"/>
  <c r="B179" i="26"/>
  <c r="B136" i="26"/>
  <c r="B136" i="28"/>
  <c r="B91" i="26"/>
  <c r="B91" i="28"/>
  <c r="B92" i="26"/>
  <c r="B92" i="28"/>
  <c r="D17" i="34"/>
  <c r="P103" i="34"/>
  <c r="P104" i="34" s="1"/>
  <c r="P107" i="34" s="1"/>
  <c r="P108" i="34" s="1"/>
  <c r="C42" i="29"/>
  <c r="I10" i="26"/>
  <c r="C45" i="29"/>
  <c r="I13" i="26"/>
  <c r="C44" i="29"/>
  <c r="I12" i="26"/>
  <c r="C46" i="29"/>
  <c r="I14" i="26"/>
  <c r="C62" i="29"/>
  <c r="C18" i="29"/>
  <c r="I11" i="26"/>
  <c r="C43" i="29"/>
  <c r="I8" i="26"/>
  <c r="C40" i="29"/>
  <c r="B6" i="28"/>
  <c r="B6" i="26"/>
  <c r="B9" i="26"/>
  <c r="B9" i="28"/>
  <c r="G5" i="10"/>
  <c r="D77" i="10"/>
  <c r="D87" i="10" s="1"/>
  <c r="E165" i="10"/>
  <c r="E205" i="10" s="1"/>
  <c r="E218" i="10" s="1"/>
  <c r="E219" i="10" s="1"/>
  <c r="G140" i="10"/>
  <c r="G133" i="10"/>
  <c r="D90" i="10"/>
  <c r="D100" i="10" s="1"/>
  <c r="G145" i="10"/>
  <c r="G159" i="10"/>
  <c r="G198" i="10"/>
  <c r="B198" i="28" s="1"/>
  <c r="B203" i="28" s="1"/>
  <c r="C76" i="10"/>
  <c r="G76" i="10" s="1"/>
  <c r="G144" i="10"/>
  <c r="C88" i="10"/>
  <c r="G146" i="10"/>
  <c r="G147" i="10"/>
  <c r="C130" i="10"/>
  <c r="C131" i="10" s="1"/>
  <c r="G109" i="10"/>
  <c r="B109" i="28" s="1"/>
  <c r="G155" i="10"/>
  <c r="C89" i="10"/>
  <c r="G88" i="10"/>
  <c r="G100" i="10" s="1"/>
  <c r="G75" i="10"/>
  <c r="F190" i="10"/>
  <c r="C77" i="10"/>
  <c r="G19" i="10"/>
  <c r="C181" i="10"/>
  <c r="F131" i="10"/>
  <c r="C162" i="10" l="1"/>
  <c r="C163" i="10"/>
  <c r="G163" i="10" s="1"/>
  <c r="C161" i="10"/>
  <c r="B117" i="28"/>
  <c r="B130" i="28" s="1"/>
  <c r="B71" i="28" s="1"/>
  <c r="B155" i="26"/>
  <c r="B155" i="28"/>
  <c r="B159" i="26"/>
  <c r="B159" i="28"/>
  <c r="B146" i="26"/>
  <c r="B146" i="28"/>
  <c r="B144" i="26"/>
  <c r="B144" i="28"/>
  <c r="B145" i="26"/>
  <c r="B145" i="28"/>
  <c r="B147" i="26"/>
  <c r="B147" i="28"/>
  <c r="B140" i="26"/>
  <c r="B140" i="28"/>
  <c r="B88" i="26"/>
  <c r="B100" i="26" s="1"/>
  <c r="B88" i="28"/>
  <c r="I6" i="26"/>
  <c r="C38" i="29"/>
  <c r="C66" i="29"/>
  <c r="C22" i="29"/>
  <c r="C69" i="29"/>
  <c r="C25" i="29"/>
  <c r="C68" i="29"/>
  <c r="C24" i="29"/>
  <c r="C96" i="30"/>
  <c r="C106" i="30" s="1"/>
  <c r="C63" i="29"/>
  <c r="C19" i="29"/>
  <c r="I9" i="26"/>
  <c r="C41" i="29"/>
  <c r="C67" i="29"/>
  <c r="C23" i="29"/>
  <c r="C65" i="29"/>
  <c r="C21" i="29"/>
  <c r="B76" i="26"/>
  <c r="B76" i="28"/>
  <c r="B75" i="26"/>
  <c r="B75" i="28"/>
  <c r="B133" i="26"/>
  <c r="B133" i="28"/>
  <c r="G203" i="10"/>
  <c r="B198" i="26"/>
  <c r="B203" i="26" s="1"/>
  <c r="G117" i="10"/>
  <c r="G130" i="10" s="1"/>
  <c r="G70" i="10" s="1"/>
  <c r="B109" i="26"/>
  <c r="B19" i="26"/>
  <c r="C53" i="30" s="1"/>
  <c r="B5" i="28"/>
  <c r="B5" i="26"/>
  <c r="G153" i="10"/>
  <c r="D218" i="10"/>
  <c r="G181" i="10"/>
  <c r="B181" i="28" s="1"/>
  <c r="B190" i="28" s="1"/>
  <c r="G161" i="10"/>
  <c r="G162" i="10"/>
  <c r="C150" i="10"/>
  <c r="C203" i="10"/>
  <c r="C137" i="10"/>
  <c r="C138" i="10" s="1"/>
  <c r="G156" i="10"/>
  <c r="F87" i="10"/>
  <c r="F90" i="10"/>
  <c r="F100" i="10" s="1"/>
  <c r="G77" i="10"/>
  <c r="B77" i="28" s="1"/>
  <c r="C190" i="10"/>
  <c r="C90" i="10"/>
  <c r="C100" i="10" s="1"/>
  <c r="C87" i="10"/>
  <c r="F137" i="10"/>
  <c r="F138" i="10" s="1"/>
  <c r="F205" i="10" s="1"/>
  <c r="B150" i="26" l="1"/>
  <c r="G71" i="10"/>
  <c r="B70" i="28"/>
  <c r="B150" i="28"/>
  <c r="B153" i="26"/>
  <c r="B153" i="28"/>
  <c r="B87" i="28"/>
  <c r="B72" i="28" s="1"/>
  <c r="B117" i="26"/>
  <c r="B130" i="26" s="1"/>
  <c r="B71" i="26" s="1"/>
  <c r="I109" i="26"/>
  <c r="C17" i="29"/>
  <c r="C61" i="29"/>
  <c r="C51" i="29"/>
  <c r="C20" i="29"/>
  <c r="C64" i="29"/>
  <c r="C75" i="30"/>
  <c r="C85" i="30" s="1"/>
  <c r="C129" i="30" s="1"/>
  <c r="C137" i="30" s="1"/>
  <c r="C138" i="30" s="1"/>
  <c r="I19" i="26"/>
  <c r="B161" i="26"/>
  <c r="B161" i="28"/>
  <c r="B162" i="26"/>
  <c r="B162" i="28"/>
  <c r="B163" i="26"/>
  <c r="B163" i="28"/>
  <c r="B156" i="26"/>
  <c r="B156" i="28"/>
  <c r="G131" i="10"/>
  <c r="G190" i="10"/>
  <c r="B181" i="26"/>
  <c r="G90" i="10"/>
  <c r="B77" i="26"/>
  <c r="B87" i="26" s="1"/>
  <c r="D219" i="10"/>
  <c r="F218" i="10"/>
  <c r="F219" i="10" s="1"/>
  <c r="G165" i="10"/>
  <c r="C165" i="10"/>
  <c r="C205" i="10" s="1"/>
  <c r="G150" i="10"/>
  <c r="G87" i="10"/>
  <c r="B165" i="28" l="1"/>
  <c r="G137" i="10"/>
  <c r="G138" i="10" s="1"/>
  <c r="G205" i="10" s="1"/>
  <c r="G69" i="10" s="1"/>
  <c r="B131" i="26"/>
  <c r="B131" i="28"/>
  <c r="B132" i="26"/>
  <c r="B132" i="28"/>
  <c r="B90" i="26"/>
  <c r="B90" i="28"/>
  <c r="B70" i="26"/>
  <c r="C20" i="35"/>
  <c r="C48" i="35" s="1"/>
  <c r="I110" i="26"/>
  <c r="B190" i="26"/>
  <c r="B165" i="26"/>
  <c r="C30" i="29"/>
  <c r="C74" i="29"/>
  <c r="B72" i="26"/>
  <c r="C218" i="10"/>
  <c r="C219" i="10" s="1"/>
  <c r="G72" i="10"/>
  <c r="I137" i="26" l="1"/>
  <c r="C49" i="35"/>
  <c r="I112" i="26"/>
  <c r="I114" i="26" s="1"/>
  <c r="B137" i="26"/>
  <c r="B138" i="26" s="1"/>
  <c r="B205" i="26" s="1"/>
  <c r="B137" i="28"/>
  <c r="B138" i="28" s="1"/>
  <c r="C50" i="35"/>
  <c r="C53" i="35" s="1"/>
  <c r="I115" i="26"/>
  <c r="G218" i="10"/>
  <c r="B205" i="28" l="1"/>
  <c r="B218" i="28" s="1"/>
  <c r="B219" i="28" s="1"/>
  <c r="B250" i="26"/>
  <c r="I250" i="26" s="1"/>
  <c r="B251" i="26"/>
  <c r="I251" i="26" s="1"/>
  <c r="B218" i="26"/>
  <c r="B238" i="26" s="1"/>
  <c r="B239" i="26" s="1"/>
  <c r="B240" i="26" s="1"/>
  <c r="B248" i="26"/>
  <c r="I248" i="26" s="1"/>
  <c r="B249" i="26"/>
  <c r="I249" i="26" s="1"/>
  <c r="B247" i="26"/>
  <c r="I247" i="26" s="1"/>
  <c r="B252" i="26"/>
  <c r="I252" i="26" s="1"/>
  <c r="B243" i="26"/>
  <c r="I243" i="26" s="1"/>
  <c r="B244" i="26"/>
  <c r="I244" i="26" s="1"/>
  <c r="B245" i="26"/>
  <c r="I245" i="26" s="1"/>
  <c r="B246" i="26"/>
  <c r="I246" i="26" s="1"/>
  <c r="B69" i="26"/>
  <c r="B253" i="26"/>
  <c r="I253" i="26" s="1"/>
  <c r="B255" i="26"/>
  <c r="I255" i="26" s="1"/>
  <c r="B254" i="26"/>
  <c r="I254" i="26" s="1"/>
  <c r="B256" i="26"/>
  <c r="I256" i="26" s="1"/>
  <c r="B226" i="26"/>
  <c r="B233" i="26" s="1"/>
  <c r="B257" i="26"/>
  <c r="I257" i="26" s="1"/>
  <c r="G219" i="10"/>
  <c r="B223" i="28"/>
  <c r="L31" i="2"/>
  <c r="K31" i="2"/>
  <c r="J31" i="2"/>
  <c r="I31" i="2"/>
  <c r="K24" i="2"/>
  <c r="F12" i="2"/>
  <c r="K9" i="2"/>
  <c r="K12" i="2" s="1"/>
  <c r="J9" i="2"/>
  <c r="J12" i="2" s="1"/>
  <c r="I9" i="2"/>
  <c r="I12" i="2" s="1"/>
  <c r="H9" i="2"/>
  <c r="H12" i="2" s="1"/>
  <c r="G9" i="2"/>
  <c r="G10" i="2" s="1"/>
  <c r="F9" i="2"/>
  <c r="E9" i="2"/>
  <c r="E12" i="2" s="1"/>
  <c r="D9" i="2"/>
  <c r="D12" i="2" s="1"/>
  <c r="C9" i="2"/>
  <c r="C12" i="2" s="1"/>
  <c r="K8" i="2"/>
  <c r="J8" i="2"/>
  <c r="J10" i="2" s="1"/>
  <c r="J14" i="2" s="1"/>
  <c r="I8" i="2"/>
  <c r="I10" i="2" s="1"/>
  <c r="I14" i="2" s="1"/>
  <c r="H8" i="2"/>
  <c r="H10" i="2" s="1"/>
  <c r="H14" i="2" s="1"/>
  <c r="G8" i="2"/>
  <c r="F8" i="2"/>
  <c r="F10" i="2" s="1"/>
  <c r="F14" i="2" s="1"/>
  <c r="E8" i="2"/>
  <c r="E10" i="2" s="1"/>
  <c r="E14" i="2" s="1"/>
  <c r="D8" i="2"/>
  <c r="D10" i="2" s="1"/>
  <c r="D14" i="2" s="1"/>
  <c r="C8" i="2"/>
  <c r="L6" i="2"/>
  <c r="K6" i="2"/>
  <c r="J6" i="2"/>
  <c r="I6" i="2"/>
  <c r="H6" i="2"/>
  <c r="G6" i="2"/>
  <c r="F6" i="2"/>
  <c r="E6" i="2"/>
  <c r="D6" i="2"/>
  <c r="C6" i="2"/>
  <c r="B6" i="2"/>
  <c r="B223" i="26" l="1"/>
  <c r="C236" i="26"/>
  <c r="C239" i="26" s="1"/>
  <c r="C240" i="26" s="1"/>
  <c r="B69" i="28"/>
  <c r="B219" i="26"/>
  <c r="I259" i="26"/>
  <c r="B259" i="26"/>
  <c r="G14" i="2"/>
  <c r="C10" i="2"/>
  <c r="C14" i="2" s="1"/>
  <c r="K10" i="2"/>
  <c r="K14" i="2" s="1"/>
  <c r="G12" i="2"/>
  <c r="D236" i="26" l="1"/>
  <c r="D239" i="26" s="1"/>
  <c r="E236" i="26" s="1"/>
  <c r="E239" i="26" s="1"/>
  <c r="D240" i="26" l="1"/>
  <c r="E240" i="26"/>
  <c r="F236" i="26"/>
  <c r="F239" i="26" s="1"/>
  <c r="F240" i="26" l="1"/>
  <c r="G236" i="26"/>
  <c r="G239" i="26" s="1"/>
  <c r="G240" i="26" s="1"/>
  <c r="G100" i="33"/>
  <c r="G101" i="33" s="1"/>
  <c r="G102" i="33" s="1"/>
  <c r="H102" i="33" s="1"/>
  <c r="I102" i="33" s="1"/>
  <c r="J102" i="33" s="1"/>
  <c r="K102" i="33" s="1"/>
  <c r="L102" i="33" s="1"/>
  <c r="M102" i="33" s="1"/>
  <c r="N102" i="33" s="1"/>
  <c r="O102" i="33" s="1"/>
  <c r="P102" i="33" s="1"/>
  <c r="D42" i="33"/>
  <c r="C42" i="33" s="1"/>
  <c r="C100" i="33" s="1"/>
  <c r="D100" i="33" l="1"/>
  <c r="P105" i="33"/>
  <c r="P106" i="33" s="1"/>
</calcChain>
</file>

<file path=xl/comments1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2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3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4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5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6.xml><?xml version="1.0" encoding="utf-8"?>
<comments xmlns="http://schemas.openxmlformats.org/spreadsheetml/2006/main">
  <authors>
    <author>Trevor Goodsell</author>
  </authors>
  <commentList>
    <comment ref="B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7.xml><?xml version="1.0" encoding="utf-8"?>
<comments xmlns="http://schemas.openxmlformats.org/spreadsheetml/2006/main">
  <authors>
    <author>Matt Padron</author>
  </authors>
  <commentList>
    <comment ref="B236" authorId="0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FY20 ending cash</t>
        </r>
      </text>
    </comment>
  </commentList>
</comments>
</file>

<file path=xl/comments8.xml><?xml version="1.0" encoding="utf-8"?>
<comments xmlns="http://schemas.openxmlformats.org/spreadsheetml/2006/main">
  <authors>
    <author>Michael Dang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<sst xmlns="http://schemas.openxmlformats.org/spreadsheetml/2006/main" count="2591" uniqueCount="411">
  <si>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</si>
  <si>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</si>
  <si>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</si>
  <si>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</si>
  <si>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</si>
  <si>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</si>
  <si>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</si>
  <si>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</si>
  <si>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</si>
  <si>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</si>
  <si>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</si>
  <si>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</si>
  <si>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</si>
  <si>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</si>
  <si>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PRIOR YEAR NUMBERS</t>
  </si>
  <si>
    <t>SPED</t>
  </si>
  <si>
    <t>FRL %</t>
  </si>
  <si>
    <t>TEACHING STAFF</t>
  </si>
  <si>
    <t>Classroom Teachers</t>
  </si>
  <si>
    <t>SPED Teachers</t>
  </si>
  <si>
    <t>Art Teacher</t>
  </si>
  <si>
    <t>Music</t>
  </si>
  <si>
    <t>PE Teacher</t>
  </si>
  <si>
    <t xml:space="preserve">Dance </t>
  </si>
  <si>
    <t>Technology (STEM)</t>
  </si>
  <si>
    <t>Theatre</t>
  </si>
  <si>
    <t>Spanish / Language</t>
  </si>
  <si>
    <t>Additional Elective Teachers</t>
  </si>
  <si>
    <t xml:space="preserve">     Total Teaching Staff</t>
  </si>
  <si>
    <t>ADMIN &amp; SUPPORT</t>
  </si>
  <si>
    <t>Principal</t>
  </si>
  <si>
    <t>Assistant Principal</t>
  </si>
  <si>
    <t>Counselor/ Student Support Advocate</t>
  </si>
  <si>
    <t>Curriculum Coach</t>
  </si>
  <si>
    <t>Registrar</t>
  </si>
  <si>
    <t>Clinic Aide/ FASA</t>
  </si>
  <si>
    <t>Receptionist</t>
  </si>
  <si>
    <t>Campus Monitor/Custodian</t>
  </si>
  <si>
    <t>Cafeteria Manager</t>
  </si>
  <si>
    <t>SPED Facilitator</t>
  </si>
  <si>
    <t>Speech Pathologist</t>
  </si>
  <si>
    <t>School Psychologist</t>
  </si>
  <si>
    <t>OT</t>
  </si>
  <si>
    <t>School Nurse</t>
  </si>
  <si>
    <t>Gate Teacher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</si>
  <si>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</si>
  <si>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</si>
  <si>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</si>
  <si>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</si>
  <si>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</si>
  <si>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</si>
  <si>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</si>
  <si>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</si>
  <si>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>National School Lunch Program (NSLP)</t>
  </si>
  <si>
    <t>SPED Funding (Part B)</t>
  </si>
  <si>
    <t xml:space="preserve">SPED Discretionary Unit </t>
  </si>
  <si>
    <t xml:space="preserve">OTHER: </t>
  </si>
  <si>
    <t xml:space="preserve">Total Revenues </t>
  </si>
  <si>
    <t xml:space="preserve">Total Actual Revenues </t>
  </si>
  <si>
    <t>EXPENSES</t>
  </si>
  <si>
    <t>Personnel Costs - Unrestricted Salaries</t>
  </si>
  <si>
    <t>Assistant Principal(s)</t>
  </si>
  <si>
    <t>105/106</t>
  </si>
  <si>
    <t>Counselor / Student Support Advocate/Dean</t>
  </si>
  <si>
    <t xml:space="preserve">Teachers Salaries </t>
  </si>
  <si>
    <t>101 /103</t>
  </si>
  <si>
    <t>Prior Grant/Categorical Positions</t>
  </si>
  <si>
    <t>Office Manager/ Registrar / Banker</t>
  </si>
  <si>
    <t>Secretary &amp; FASA</t>
  </si>
  <si>
    <t>Teacher Assistants (including SPED)</t>
  </si>
  <si>
    <t>Campus Monitors</t>
  </si>
  <si>
    <t xml:space="preserve">Total Unrestricted Salaries </t>
  </si>
  <si>
    <t>Personnel Costs - Restricted Salaries</t>
  </si>
  <si>
    <t xml:space="preserve">Lead Principal Staff </t>
  </si>
  <si>
    <t xml:space="preserve">OT </t>
  </si>
  <si>
    <t>GATE</t>
  </si>
  <si>
    <t>NSLP Manager</t>
  </si>
  <si>
    <t>Cafeteria Manager - NSLP</t>
  </si>
  <si>
    <t>On Campus Sub</t>
  </si>
  <si>
    <t xml:space="preserve">Total Restricted Salaries </t>
  </si>
  <si>
    <t xml:space="preserve">Total Salaries and Wages </t>
  </si>
  <si>
    <t xml:space="preserve">Insurances/Employment Taxes/Other Benefits </t>
  </si>
  <si>
    <t>Incentives / Bonuses</t>
  </si>
  <si>
    <t>Stipend</t>
  </si>
  <si>
    <t>Tuition Reimbursements</t>
  </si>
  <si>
    <t xml:space="preserve">Total Benefits and Related </t>
  </si>
  <si>
    <t xml:space="preserve">Total Payroll / Benefits and Related </t>
  </si>
  <si>
    <t>Supplies</t>
  </si>
  <si>
    <t xml:space="preserve">Consumables </t>
  </si>
  <si>
    <t>Zion's FFE Lease - payments</t>
  </si>
  <si>
    <t>Cash instead of Zion Lease - Curriculum/Tech/Furniture</t>
  </si>
  <si>
    <t>Office Supplies</t>
  </si>
  <si>
    <t>Classroom Supplies</t>
  </si>
  <si>
    <t>Copier Supplies</t>
  </si>
  <si>
    <t>Nursing Supplies</t>
  </si>
  <si>
    <t>SPED Supplies</t>
  </si>
  <si>
    <t>Athletics/Extra</t>
  </si>
  <si>
    <t xml:space="preserve">Total Supplies </t>
  </si>
  <si>
    <t>Purchased Services</t>
  </si>
  <si>
    <t>Data Analysts</t>
  </si>
  <si>
    <t>Special Education Contracted Services</t>
  </si>
  <si>
    <t>Contracted Services: Transportation</t>
  </si>
  <si>
    <t>Management Fee</t>
  </si>
  <si>
    <t>Payroll Services</t>
  </si>
  <si>
    <t>Audit/Tax</t>
  </si>
  <si>
    <t>Legal Fees</t>
  </si>
  <si>
    <t xml:space="preserve">IT Services </t>
  </si>
  <si>
    <t>IT Set-up Fees</t>
  </si>
  <si>
    <t>Affiliation Fee - Inc. (1/2 of 1%)</t>
  </si>
  <si>
    <t>Affiliation Fee - Professional Development (1/2 of 1%)</t>
  </si>
  <si>
    <t xml:space="preserve">Affiliation Fee - </t>
  </si>
  <si>
    <t xml:space="preserve">Total Purchased Services </t>
  </si>
  <si>
    <t>General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</si>
  <si>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</si>
  <si>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</si>
  <si>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</si>
  <si>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</si>
  <si>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</si>
  <si>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</si>
  <si>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</si>
  <si>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 xml:space="preserve">Total General Operations </t>
  </si>
  <si>
    <t>Insurances</t>
  </si>
  <si>
    <t>Liability Insurance</t>
  </si>
  <si>
    <t>Other Insurances</t>
  </si>
  <si>
    <t xml:space="preserve">Total Insurances </t>
  </si>
  <si>
    <t>Other</t>
  </si>
  <si>
    <t>Lunch Program-NSLP</t>
  </si>
  <si>
    <t>Advertising/Marketing</t>
  </si>
  <si>
    <t xml:space="preserve">Travel </t>
  </si>
  <si>
    <t>Background and Fingerprinting</t>
  </si>
  <si>
    <t>Dues and Fees</t>
  </si>
  <si>
    <t>Loan Payment / Interest Expense</t>
  </si>
  <si>
    <t>Prior Year Surplus allocated by board</t>
  </si>
  <si>
    <t>Graduation</t>
  </si>
  <si>
    <t>Other Purchases</t>
  </si>
  <si>
    <t xml:space="preserve">Total Other </t>
  </si>
  <si>
    <t>Facilities</t>
  </si>
  <si>
    <t>Public Utilities</t>
  </si>
  <si>
    <t>Natural Gas</t>
  </si>
  <si>
    <t>Water / Sewer</t>
  </si>
  <si>
    <t>Garbage/Disposal</t>
  </si>
  <si>
    <t>Fire and Security alarms</t>
  </si>
  <si>
    <t>Contracted Janitorial Services</t>
  </si>
  <si>
    <t>Custodial Supplies</t>
  </si>
  <si>
    <t>430/431</t>
  </si>
  <si>
    <t>Facility Maintenance/Repairs/Capital Outlay</t>
  </si>
  <si>
    <t>Lawn Care</t>
  </si>
  <si>
    <t>Snow removal</t>
  </si>
  <si>
    <t>AC Maintenance &amp; Repair</t>
  </si>
  <si>
    <t xml:space="preserve">Total Facilities </t>
  </si>
  <si>
    <t xml:space="preserve">Total Expenses Before Bldg </t>
  </si>
  <si>
    <t>Scheduled Lease Payment</t>
  </si>
  <si>
    <t>Scheduled Bond Payment</t>
  </si>
  <si>
    <t>Additional Parking</t>
  </si>
  <si>
    <t>Surplus (Revenues-Total Expenses-Lease-Bond)</t>
  </si>
  <si>
    <t>NSLP</t>
  </si>
  <si>
    <t xml:space="preserve">REVENUE 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</si>
  <si>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</si>
  <si>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</si>
  <si>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</si>
  <si>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</si>
  <si>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</si>
  <si>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</si>
  <si>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</si>
  <si>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</si>
  <si>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</si>
  <si>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</si>
  <si>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</si>
  <si>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State</t>
  </si>
  <si>
    <t>Local</t>
  </si>
  <si>
    <t>Total Per Pupil</t>
  </si>
  <si>
    <t>State Change</t>
  </si>
  <si>
    <t>Local Change</t>
  </si>
  <si>
    <t>Total Change</t>
  </si>
  <si>
    <t>Change in Local</t>
  </si>
  <si>
    <t>Change in total</t>
  </si>
  <si>
    <t>Average Teacher Salary</t>
  </si>
  <si>
    <t>% Increase</t>
  </si>
  <si>
    <t xml:space="preserve">PERS </t>
  </si>
  <si>
    <t>Social Security</t>
  </si>
  <si>
    <t>N/A</t>
  </si>
  <si>
    <t>Medicare</t>
  </si>
  <si>
    <t>State Unemployment on 100% of Wages</t>
  </si>
  <si>
    <t>Insurance</t>
  </si>
  <si>
    <t>Total Taxes &amp; Insurance</t>
  </si>
  <si>
    <t>Consumables</t>
  </si>
  <si>
    <t xml:space="preserve">SPED Contracted Services </t>
  </si>
  <si>
    <t>IT Fee</t>
  </si>
  <si>
    <t>State Admin. Fee</t>
  </si>
  <si>
    <t>Affiliation Fee</t>
  </si>
  <si>
    <t>2025-2026</t>
  </si>
  <si>
    <t>2024-2025</t>
  </si>
  <si>
    <t>2023-2024</t>
  </si>
  <si>
    <t>2022-2023</t>
  </si>
  <si>
    <t>2021-2022</t>
  </si>
  <si>
    <t>2020-2021</t>
  </si>
  <si>
    <t>School Year</t>
  </si>
  <si>
    <t>Total</t>
  </si>
  <si>
    <t>24-25</t>
  </si>
  <si>
    <t>23-24</t>
  </si>
  <si>
    <t>22-23</t>
  </si>
  <si>
    <t>Year</t>
  </si>
  <si>
    <t xml:space="preserve">Anticipated Borrowed Amount: </t>
  </si>
  <si>
    <t xml:space="preserve">Planned Enrollment: </t>
  </si>
  <si>
    <t>PANN Average</t>
  </si>
  <si>
    <t xml:space="preserve">Management Fee </t>
  </si>
  <si>
    <t>Teacher Assistants (SPED Included)</t>
  </si>
  <si>
    <t>SPED Count</t>
  </si>
  <si>
    <t>ELL Count</t>
  </si>
  <si>
    <t>GATE Count</t>
  </si>
  <si>
    <t>At-Risk (FRL) Count</t>
  </si>
  <si>
    <t>State Base Revenue</t>
  </si>
  <si>
    <t>SPED Discretionary Unit</t>
  </si>
  <si>
    <t>ELL Weight</t>
  </si>
  <si>
    <t>Gifted and Talented Education (GATE) Weight</t>
  </si>
  <si>
    <t>At-Risk Weight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</si>
  <si>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</t>
    </r>
  </si>
  <si>
    <t>PERS - 29.75%</t>
  </si>
  <si>
    <t xml:space="preserve">Subst. Teachers (10 days/Teacher) </t>
  </si>
  <si>
    <t>State Administrative Fee (1.25%)</t>
  </si>
  <si>
    <r>
      <rPr>
        <b/>
        <sz val="11"/>
        <rFont val="Calibri"/>
        <family val="2"/>
        <scheme val="minor"/>
      </rPr>
      <t>OTHER</t>
    </r>
    <r>
      <rPr>
        <sz val="11"/>
        <rFont val="Calibri"/>
        <family val="2"/>
        <scheme val="minor"/>
      </rPr>
      <t xml:space="preserve">: </t>
    </r>
  </si>
  <si>
    <t>Duel Enrollment - Student Fees/Textbooks</t>
  </si>
  <si>
    <t>Property Insurance</t>
  </si>
  <si>
    <t>Parent Engagement Corrdinator</t>
  </si>
  <si>
    <t>Operating</t>
  </si>
  <si>
    <t>Weights</t>
  </si>
  <si>
    <t>Totals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</si>
  <si>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Title</t>
    </r>
  </si>
  <si>
    <t>Statewide Base (w/ District Adj)</t>
  </si>
  <si>
    <t>Local SPED</t>
  </si>
  <si>
    <t>Office Manager/Banker</t>
  </si>
  <si>
    <t>DANN</t>
  </si>
  <si>
    <t>2018-2019</t>
  </si>
  <si>
    <t>2019-2020</t>
  </si>
  <si>
    <t>Dean/SSC</t>
  </si>
  <si>
    <t>Dean/SCC</t>
  </si>
  <si>
    <t>Mt. Rose</t>
  </si>
  <si>
    <t>PCFP (New Formula)</t>
  </si>
  <si>
    <t>Base</t>
  </si>
  <si>
    <t>ELL</t>
  </si>
  <si>
    <t>At-Risk</t>
  </si>
  <si>
    <t>FY 2022</t>
  </si>
  <si>
    <t>FY 2023</t>
  </si>
  <si>
    <t>$ Change</t>
  </si>
  <si>
    <t>% Change</t>
  </si>
  <si>
    <t>FY 2024</t>
  </si>
  <si>
    <t>FY 2025</t>
  </si>
  <si>
    <t>FY 2026</t>
  </si>
  <si>
    <t>FY 2027</t>
  </si>
  <si>
    <t>Online / Reno</t>
  </si>
  <si>
    <t>New Campus</t>
  </si>
  <si>
    <t>DANN Total</t>
  </si>
  <si>
    <t>ELL Corrdinator</t>
  </si>
  <si>
    <t>25-26</t>
  </si>
  <si>
    <t>26-27</t>
  </si>
  <si>
    <t>27-28</t>
  </si>
  <si>
    <t>DANN FY 24</t>
  </si>
  <si>
    <t>DANN FY 25</t>
  </si>
  <si>
    <t>DANN FY 26</t>
  </si>
  <si>
    <t>FY23</t>
  </si>
  <si>
    <t>FY24</t>
  </si>
  <si>
    <t>FY25</t>
  </si>
  <si>
    <t>FY26</t>
  </si>
  <si>
    <t>DANN FY 27</t>
  </si>
  <si>
    <t>DANN System</t>
  </si>
  <si>
    <t>FY27</t>
  </si>
  <si>
    <t>DANN New Facility</t>
  </si>
  <si>
    <t>DANN OG</t>
  </si>
  <si>
    <t>K</t>
  </si>
  <si>
    <t>Pre-K</t>
  </si>
  <si>
    <t>Number of Students</t>
  </si>
  <si>
    <t>Grade Level</t>
  </si>
  <si>
    <t>amendment)</t>
  </si>
  <si>
    <t>planned enrollment described in subsection b will necessitate a charter</t>
  </si>
  <si>
    <t>(c)	Maximum Enrollment (Note: Enrolling more than 10 percent of the</t>
  </si>
  <si>
    <t>(b)  Planned Enrollment (Must Correspond to Budget Worksheet Assumptions)</t>
  </si>
  <si>
    <t>Assumptions discussed in budget narrative)</t>
  </si>
  <si>
    <t>(a)  Minimum Enrollment (Must Correspond to Break Even Budget Scenario</t>
  </si>
  <si>
    <t>STUDENT RECRUITMENT AND ENROLLMENT</t>
  </si>
  <si>
    <t>OPERATIONS PLAN</t>
  </si>
  <si>
    <t>Mike Dang</t>
  </si>
  <si>
    <t>Nevada State Public Charter School Authority</t>
  </si>
  <si>
    <t>Enrollment Tables</t>
  </si>
  <si>
    <t>Total Network FTEs</t>
  </si>
  <si>
    <t>Total FTEs at High Schools</t>
  </si>
  <si>
    <t>School Operations Support Staff</t>
  </si>
  <si>
    <t>Teacher Aides and Assistants</t>
  </si>
  <si>
    <t>Receptionist / Clinic Aide FASA</t>
  </si>
  <si>
    <t>Office Manager</t>
  </si>
  <si>
    <t>Special Education Teachers</t>
  </si>
  <si>
    <t>Classroom Teachers (Specials)</t>
  </si>
  <si>
    <t>Classroom Teachers (Core Subjects)</t>
  </si>
  <si>
    <t>SPED Facilitator / Speech Psychologist</t>
  </si>
  <si>
    <t xml:space="preserve">Curriculum/Instructional Coach </t>
  </si>
  <si>
    <t>Assistant Principals</t>
  </si>
  <si>
    <t>Principals</t>
  </si>
  <si>
    <t>High School Staff</t>
  </si>
  <si>
    <t>Total FTEs at Middle Schools</t>
  </si>
  <si>
    <t>Middle School Staff</t>
  </si>
  <si>
    <t>Total FTEs at Elementary Schools</t>
  </si>
  <si>
    <t>Elementary School Staff</t>
  </si>
  <si>
    <t>Total Back-Office FTEs</t>
  </si>
  <si>
    <t>HR, Event Coordinator, Other (Academica Nevada)</t>
  </si>
  <si>
    <t>Paralegal, Director of Growth &amp; Management  (Academica Nevada)</t>
  </si>
  <si>
    <t>Facility Manager (Academica Nevada)</t>
  </si>
  <si>
    <t>Procurement Director (Academica Nevada)</t>
  </si>
  <si>
    <t>Bookkeepers  (Academica Nevada)</t>
  </si>
  <si>
    <t>Chief Legal Officer (Academica Nevada)</t>
  </si>
  <si>
    <t>Chief Financial Officer  (Academica Nevada)</t>
  </si>
  <si>
    <t>Chief Operating Officer (Academica Nevada)</t>
  </si>
  <si>
    <t>Management Organization Positions</t>
  </si>
  <si>
    <t xml:space="preserve">Total Student enrollment </t>
  </si>
  <si>
    <t>Total schools</t>
  </si>
  <si>
    <t>Number of high schools</t>
  </si>
  <si>
    <t>Number of middle schools</t>
  </si>
  <si>
    <t>Number of elementary schools</t>
  </si>
  <si>
    <t>2027-28</t>
  </si>
  <si>
    <t>2026-27</t>
  </si>
  <si>
    <t>2025-26</t>
  </si>
  <si>
    <t>2024-25</t>
  </si>
  <si>
    <t>2023-24</t>
  </si>
  <si>
    <t>2022-23</t>
  </si>
  <si>
    <t>Network</t>
  </si>
  <si>
    <t>Total FTEs at School</t>
  </si>
  <si>
    <t>Instructional Aide(s)</t>
  </si>
  <si>
    <t>School Staff</t>
  </si>
  <si>
    <t>Proposed New Campus(es)</t>
  </si>
  <si>
    <t>Projections for school years beginning</t>
  </si>
  <si>
    <t>School Years</t>
  </si>
  <si>
    <t>Staffing Tables of Projected Staffing Needs</t>
  </si>
  <si>
    <t>Doral Academy of Northern Nevada</t>
  </si>
  <si>
    <t>Counselor  / Student Support Advocate</t>
  </si>
  <si>
    <t>EL Coordinator / Dean</t>
  </si>
  <si>
    <t>Doral Academy of Northern Nevada - New Campus</t>
  </si>
  <si>
    <t>REVENUE (@ 100%)</t>
  </si>
  <si>
    <t>Adjusted Net Income Available Before Lease and Debt Service</t>
  </si>
  <si>
    <t>Total Lease Payments &amp; Net Debt Service</t>
  </si>
  <si>
    <t xml:space="preserve">Annual Debt Service Coverage </t>
  </si>
  <si>
    <t>Days Cash on Hand Calculation</t>
  </si>
  <si>
    <t xml:space="preserve">Projected Beginning Cash Balance </t>
  </si>
  <si>
    <t>Accounts Receivable</t>
  </si>
  <si>
    <t>Plus:  Operating Surplus</t>
  </si>
  <si>
    <t>Ending Cash Balance</t>
  </si>
  <si>
    <t>Projected Days Cash on Hand</t>
  </si>
  <si>
    <t>Personnel</t>
  </si>
  <si>
    <t>Benefits</t>
  </si>
  <si>
    <t>Contractual</t>
  </si>
  <si>
    <t>Contracted Services</t>
  </si>
  <si>
    <t>Equipment</t>
  </si>
  <si>
    <t>Facility</t>
  </si>
  <si>
    <t>Athletics</t>
  </si>
  <si>
    <t>Travel</t>
  </si>
  <si>
    <t>Accounting, Audit, &amp; Legal Fees</t>
  </si>
  <si>
    <t>Technology</t>
  </si>
  <si>
    <t>Avg</t>
  </si>
  <si>
    <t xml:space="preserve">Total Staff: </t>
  </si>
  <si>
    <t>Classroom Teachers (Core)</t>
  </si>
  <si>
    <t>Position</t>
  </si>
  <si>
    <t>***Differences in salaries and beneifts are due to teachers being paid over the summer.</t>
  </si>
  <si>
    <t>Cumulative (negative)</t>
  </si>
  <si>
    <t>Monthly Cash Flow (negative)</t>
  </si>
  <si>
    <t xml:space="preserve">Total Expenses </t>
  </si>
  <si>
    <t>Rent Reimbursment by Pre-K</t>
  </si>
  <si>
    <t>Scheduled Lease Payment (Portable Bldg)</t>
  </si>
  <si>
    <t>Snow Removal</t>
  </si>
  <si>
    <t>Water Sewer</t>
  </si>
  <si>
    <t>Loan Repayments</t>
  </si>
  <si>
    <t>Property Insurnance</t>
  </si>
  <si>
    <t xml:space="preserve">State Administrative Fee </t>
  </si>
  <si>
    <t>Management Fee (Academica Nevada)</t>
  </si>
  <si>
    <t>Subst. Teachers (10 days/Teacher)</t>
  </si>
  <si>
    <t>Grant Manager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</si>
  <si>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</si>
  <si>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</si>
  <si>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</si>
  <si>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</si>
  <si>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</si>
  <si>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</si>
  <si>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</si>
  <si>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</si>
  <si>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</si>
  <si>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</si>
  <si>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</si>
  <si>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</si>
  <si>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Difference</t>
  </si>
  <si>
    <t>Budget</t>
  </si>
  <si>
    <r>
      <t xml:space="preserve">OTHER: </t>
    </r>
    <r>
      <rPr>
        <sz val="11"/>
        <rFont val="Calibri"/>
        <family val="2"/>
        <scheme val="minor"/>
      </rPr>
      <t>Tenant Improvements Donation</t>
    </r>
  </si>
  <si>
    <r>
      <t>OTHER:</t>
    </r>
    <r>
      <rPr>
        <sz val="11"/>
        <rFont val="Calibri"/>
        <family val="2"/>
        <scheme val="minor"/>
      </rPr>
      <t xml:space="preserve"> Donations</t>
    </r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</si>
  <si>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Pre-Operational Loan</t>
    </r>
  </si>
  <si>
    <t>EL Weight</t>
  </si>
  <si>
    <t>Title II</t>
  </si>
  <si>
    <t>Title I</t>
  </si>
  <si>
    <t>State Base Budget Revenue</t>
  </si>
  <si>
    <t>REVENUE (@ 95%)</t>
  </si>
  <si>
    <t>Dual Enrollment - Student Fees/Textbooks</t>
  </si>
  <si>
    <t>Dual Enrollment - Student Fees/Texbooks</t>
  </si>
  <si>
    <t>Counselor / Student Support Advocate / Dean</t>
  </si>
  <si>
    <t>Receptionist / Clinic Aide/ FASA</t>
  </si>
  <si>
    <t xml:space="preserve">Total Staff Cost: </t>
  </si>
  <si>
    <t>DANN - Proposed Campus</t>
  </si>
  <si>
    <t>SPED Facilitator / Speech Pathologist</t>
  </si>
  <si>
    <t xml:space="preserve">Total Salaries and Wages: </t>
  </si>
  <si>
    <t xml:space="preserve">Benefits % of Salaries: </t>
  </si>
  <si>
    <t xml:space="preserve">Total Cost of Benefits: </t>
  </si>
  <si>
    <t>Actual Beginning Cash Balance (based on FY20 Audit)</t>
  </si>
  <si>
    <t>Lease Rate</t>
  </si>
  <si>
    <t xml:space="preserve">DANN FY 23 </t>
  </si>
  <si>
    <t>FY28</t>
  </si>
  <si>
    <t>ELL Corrdinator / Dean / SSC</t>
  </si>
  <si>
    <t>2026-2027</t>
  </si>
  <si>
    <t>2027-2028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</si>
</sst>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_);_(@_)"/>
    <numFmt numFmtId="168" formatCode="_(* #,##0.0_);_(* \(#,##0.0\);_(* &quot;-&quot;??_);_(@_)"/>
    <numFmt numFmtId="169" formatCode="_(* #,##0.000_);_(* \(#,##0.000\);_(* &quot;-&quot;??_);_(@_)"/>
    <numFmt numFmtId="170" formatCode="_(#,##0_);[Red]_(\(#,##0\);_(&quot;-&quot;_);_(@_)"/>
    <numFmt numFmtId="171" formatCode="_(#,##0.00_);[Red]_(\(#,##0.00\);_(&quot;-&quot;_);_(@_)"/>
    <numFmt numFmtId="172" formatCode="_(#,##0.0_);[Red]_(\(#,##0.0\);_(&quot;-&quot;_);_(@_)"/>
    <numFmt numFmtId="173" formatCode="0.000"/>
    <numFmt numFmtId="174" formatCode="0_);[Red]\(0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FF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i/>
      <sz val="9"/>
      <color indexed="8"/>
      <name val="Arial"/>
      <family val="2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8" fillId="0" borderId="1" xfId="2" applyNumberFormat="1" applyFont="1" applyFill="1" applyBorder="1" applyAlignment="1">
      <alignment horizontal="right"/>
    </xf>
    <xf numFmtId="164" fontId="0" fillId="0" borderId="3" xfId="1" applyNumberFormat="1" applyFont="1" applyBorder="1"/>
    <xf numFmtId="0" fontId="8" fillId="0" borderId="4" xfId="2" applyNumberFormat="1" applyFont="1" applyFill="1" applyBorder="1" applyAlignment="1">
      <alignment horizontal="right"/>
    </xf>
    <xf numFmtId="164" fontId="3" fillId="0" borderId="3" xfId="1" applyNumberFormat="1" applyFont="1" applyBorder="1"/>
    <xf numFmtId="0" fontId="8" fillId="0" borderId="7" xfId="0" applyFont="1" applyFill="1" applyBorder="1" applyAlignment="1">
      <alignment horizontal="right"/>
    </xf>
    <xf numFmtId="164" fontId="8" fillId="0" borderId="3" xfId="1" applyNumberFormat="1" applyFont="1" applyFill="1" applyBorder="1"/>
    <xf numFmtId="0" fontId="8" fillId="0" borderId="7" xfId="2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64" fontId="8" fillId="0" borderId="3" xfId="1" applyNumberFormat="1" applyFont="1" applyBorder="1"/>
    <xf numFmtId="164" fontId="0" fillId="0" borderId="3" xfId="1" applyNumberFormat="1" applyFont="1" applyFill="1" applyBorder="1"/>
    <xf numFmtId="0" fontId="0" fillId="0" borderId="4" xfId="0" applyFont="1" applyFill="1" applyBorder="1" applyAlignment="1">
      <alignment horizontal="right"/>
    </xf>
    <xf numFmtId="0" fontId="5" fillId="2" borderId="8" xfId="0" applyFont="1" applyFill="1" applyBorder="1"/>
    <xf numFmtId="3" fontId="5" fillId="2" borderId="3" xfId="0" applyNumberFormat="1" applyFont="1" applyFill="1" applyBorder="1" applyAlignment="1">
      <alignment horizontal="center"/>
    </xf>
    <xf numFmtId="9" fontId="0" fillId="0" borderId="3" xfId="3" applyFont="1" applyBorder="1"/>
    <xf numFmtId="0" fontId="4" fillId="0" borderId="4" xfId="0" applyFont="1" applyFill="1" applyBorder="1" applyAlignment="1">
      <alignment horizontal="right"/>
    </xf>
    <xf numFmtId="0" fontId="8" fillId="0" borderId="4" xfId="0" applyFont="1" applyFill="1" applyBorder="1" applyProtection="1">
      <protection locked="0"/>
    </xf>
    <xf numFmtId="43" fontId="8" fillId="0" borderId="3" xfId="0" applyNumberFormat="1" applyFont="1" applyFill="1" applyBorder="1" applyAlignment="1" applyProtection="1">
      <alignment horizontal="center"/>
      <protection locked="0"/>
    </xf>
    <xf numFmtId="43" fontId="0" fillId="0" borderId="3" xfId="1" applyNumberFormat="1" applyFont="1" applyBorder="1"/>
    <xf numFmtId="0" fontId="8" fillId="0" borderId="6" xfId="0" applyFont="1" applyFill="1" applyBorder="1" applyProtection="1">
      <protection locked="0"/>
    </xf>
    <xf numFmtId="0" fontId="7" fillId="0" borderId="0" xfId="0" applyFont="1" applyFill="1" applyAlignment="1">
      <alignment horizontal="center"/>
    </xf>
    <xf numFmtId="43" fontId="0" fillId="0" borderId="3" xfId="1" applyNumberFormat="1" applyFont="1" applyFill="1" applyBorder="1"/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/>
    <xf numFmtId="43" fontId="6" fillId="3" borderId="3" xfId="1" applyNumberFormat="1" applyFont="1" applyFill="1" applyBorder="1"/>
    <xf numFmtId="0" fontId="5" fillId="0" borderId="4" xfId="0" applyFont="1" applyFill="1" applyBorder="1"/>
    <xf numFmtId="43" fontId="5" fillId="2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/>
    <xf numFmtId="0" fontId="8" fillId="0" borderId="6" xfId="0" applyFont="1" applyFill="1" applyBorder="1"/>
    <xf numFmtId="0" fontId="5" fillId="4" borderId="4" xfId="0" applyFont="1" applyFill="1" applyBorder="1"/>
    <xf numFmtId="164" fontId="0" fillId="0" borderId="2" xfId="1" applyNumberFormat="1" applyFont="1" applyBorder="1"/>
    <xf numFmtId="43" fontId="0" fillId="0" borderId="2" xfId="1" applyNumberFormat="1" applyFont="1" applyBorder="1"/>
    <xf numFmtId="43" fontId="6" fillId="0" borderId="10" xfId="1" applyNumberFormat="1" applyFont="1" applyBorder="1"/>
    <xf numFmtId="0" fontId="6" fillId="4" borderId="7" xfId="0" applyFont="1" applyFill="1" applyBorder="1"/>
    <xf numFmtId="0" fontId="3" fillId="0" borderId="0" xfId="0" applyFont="1"/>
    <xf numFmtId="43" fontId="6" fillId="0" borderId="11" xfId="1" applyNumberFormat="1" applyFont="1" applyBorder="1"/>
    <xf numFmtId="0" fontId="6" fillId="4" borderId="12" xfId="0" applyFont="1" applyFill="1" applyBorder="1"/>
    <xf numFmtId="43" fontId="6" fillId="0" borderId="14" xfId="1" applyNumberFormat="1" applyFont="1" applyBorder="1"/>
    <xf numFmtId="0" fontId="6" fillId="4" borderId="15" xfId="0" applyFont="1" applyFill="1" applyBorder="1"/>
    <xf numFmtId="164" fontId="0" fillId="0" borderId="5" xfId="1" applyNumberFormat="1" applyFont="1" applyBorder="1"/>
    <xf numFmtId="9" fontId="7" fillId="0" borderId="10" xfId="3" applyNumberFormat="1" applyFont="1" applyBorder="1" applyAlignment="1">
      <alignment horizontal="center"/>
    </xf>
    <xf numFmtId="0" fontId="5" fillId="0" borderId="10" xfId="0" applyFont="1" applyFill="1" applyBorder="1"/>
    <xf numFmtId="9" fontId="7" fillId="0" borderId="11" xfId="3" applyNumberFormat="1" applyFont="1" applyBorder="1" applyAlignment="1">
      <alignment horizontal="center"/>
    </xf>
    <xf numFmtId="0" fontId="5" fillId="0" borderId="17" xfId="0" applyFont="1" applyFill="1" applyBorder="1"/>
    <xf numFmtId="0" fontId="7" fillId="0" borderId="0" xfId="0" applyFont="1" applyBorder="1" applyAlignment="1">
      <alignment horizontal="center"/>
    </xf>
    <xf numFmtId="0" fontId="5" fillId="0" borderId="13" xfId="0" applyFont="1" applyFill="1" applyBorder="1"/>
    <xf numFmtId="9" fontId="7" fillId="0" borderId="14" xfId="3" applyNumberFormat="1" applyFont="1" applyBorder="1" applyAlignment="1">
      <alignment horizontal="center"/>
    </xf>
    <xf numFmtId="0" fontId="5" fillId="0" borderId="16" xfId="0" applyFont="1" applyFill="1" applyBorder="1"/>
    <xf numFmtId="0" fontId="9" fillId="0" borderId="0" xfId="0" applyFont="1" applyFill="1" applyBorder="1"/>
    <xf numFmtId="164" fontId="0" fillId="0" borderId="0" xfId="1" applyNumberFormat="1" applyFont="1" applyBorder="1"/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/>
    <xf numFmtId="164" fontId="3" fillId="3" borderId="3" xfId="1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Fill="1" applyBorder="1"/>
    <xf numFmtId="164" fontId="0" fillId="0" borderId="9" xfId="1" applyNumberFormat="1" applyFont="1" applyBorder="1"/>
    <xf numFmtId="0" fontId="8" fillId="0" borderId="20" xfId="0" applyFont="1" applyFill="1" applyBorder="1"/>
    <xf numFmtId="0" fontId="7" fillId="0" borderId="19" xfId="0" applyFont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5" fillId="0" borderId="22" xfId="0" applyFont="1" applyFill="1" applyBorder="1"/>
    <xf numFmtId="0" fontId="7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right"/>
    </xf>
    <xf numFmtId="164" fontId="6" fillId="5" borderId="25" xfId="1" applyNumberFormat="1" applyFont="1" applyFill="1" applyBorder="1"/>
    <xf numFmtId="0" fontId="7" fillId="0" borderId="0" xfId="0" applyFont="1"/>
    <xf numFmtId="0" fontId="0" fillId="0" borderId="0" xfId="0" applyFont="1" applyBorder="1"/>
    <xf numFmtId="0" fontId="7" fillId="7" borderId="26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left"/>
    </xf>
    <xf numFmtId="164" fontId="3" fillId="7" borderId="2" xfId="1" applyNumberFormat="1" applyFont="1" applyFill="1" applyBorder="1" applyAlignment="1">
      <alignment horizontal="center"/>
    </xf>
    <xf numFmtId="0" fontId="7" fillId="2" borderId="18" xfId="0" applyFont="1" applyFill="1" applyBorder="1"/>
    <xf numFmtId="0" fontId="10" fillId="2" borderId="27" xfId="0" applyFont="1" applyFill="1" applyBorder="1"/>
    <xf numFmtId="0" fontId="5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0" fillId="0" borderId="9" xfId="1" applyNumberFormat="1" applyFont="1" applyFill="1" applyBorder="1"/>
    <xf numFmtId="164" fontId="8" fillId="0" borderId="2" xfId="1" applyNumberFormat="1" applyFont="1" applyBorder="1"/>
    <xf numFmtId="0" fontId="8" fillId="7" borderId="21" xfId="0" applyFont="1" applyFill="1" applyBorder="1" applyAlignment="1">
      <alignment horizontal="right"/>
    </xf>
    <xf numFmtId="164" fontId="7" fillId="7" borderId="21" xfId="1" applyNumberFormat="1" applyFont="1" applyFill="1" applyBorder="1"/>
    <xf numFmtId="0" fontId="10" fillId="2" borderId="18" xfId="0" applyFont="1" applyFill="1" applyBorder="1"/>
    <xf numFmtId="0" fontId="7" fillId="0" borderId="18" xfId="0" applyFont="1" applyBorder="1"/>
    <xf numFmtId="164" fontId="0" fillId="0" borderId="2" xfId="1" applyNumberFormat="1" applyFont="1" applyFill="1" applyBorder="1"/>
    <xf numFmtId="164" fontId="7" fillId="7" borderId="2" xfId="1" applyNumberFormat="1" applyFont="1" applyFill="1" applyBorder="1"/>
    <xf numFmtId="0" fontId="7" fillId="7" borderId="29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right"/>
    </xf>
    <xf numFmtId="164" fontId="7" fillId="7" borderId="25" xfId="1" applyNumberFormat="1" applyFont="1" applyFill="1" applyBorder="1"/>
    <xf numFmtId="0" fontId="5" fillId="7" borderId="26" xfId="0" applyFont="1" applyFill="1" applyBorder="1" applyAlignment="1">
      <alignment horizontal="right"/>
    </xf>
    <xf numFmtId="164" fontId="7" fillId="7" borderId="30" xfId="1" applyNumberFormat="1" applyFont="1" applyFill="1" applyBorder="1"/>
    <xf numFmtId="0" fontId="7" fillId="0" borderId="31" xfId="0" applyFont="1" applyBorder="1" applyAlignment="1">
      <alignment horizontal="center"/>
    </xf>
    <xf numFmtId="164" fontId="1" fillId="0" borderId="3" xfId="1" applyNumberFormat="1" applyFont="1" applyBorder="1"/>
    <xf numFmtId="0" fontId="5" fillId="7" borderId="3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8" fillId="0" borderId="33" xfId="0" applyFont="1" applyBorder="1"/>
    <xf numFmtId="164" fontId="6" fillId="7" borderId="25" xfId="1" applyNumberFormat="1" applyFont="1" applyFill="1" applyBorder="1"/>
    <xf numFmtId="0" fontId="10" fillId="0" borderId="20" xfId="0" applyFont="1" applyFill="1" applyBorder="1"/>
    <xf numFmtId="0" fontId="10" fillId="0" borderId="3" xfId="0" applyFont="1" applyBorder="1"/>
    <xf numFmtId="0" fontId="3" fillId="0" borderId="3" xfId="0" applyFont="1" applyBorder="1"/>
    <xf numFmtId="0" fontId="0" fillId="0" borderId="22" xfId="0" applyFont="1" applyBorder="1"/>
    <xf numFmtId="164" fontId="0" fillId="0" borderId="0" xfId="1" applyNumberFormat="1" applyFont="1"/>
    <xf numFmtId="10" fontId="0" fillId="0" borderId="9" xfId="3" applyNumberFormat="1" applyFont="1" applyBorder="1"/>
    <xf numFmtId="43" fontId="0" fillId="0" borderId="0" xfId="1" applyNumberFormat="1" applyFont="1"/>
    <xf numFmtId="0" fontId="3" fillId="0" borderId="0" xfId="0" applyFont="1" applyAlignment="1">
      <alignment horizontal="center"/>
    </xf>
    <xf numFmtId="166" fontId="0" fillId="0" borderId="0" xfId="3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2" fillId="0" borderId="0" xfId="1" applyNumberFormat="1" applyFont="1"/>
    <xf numFmtId="49" fontId="0" fillId="0" borderId="0" xfId="0" applyNumberFormat="1" applyAlignment="1">
      <alignment horizontal="right"/>
    </xf>
    <xf numFmtId="164" fontId="0" fillId="0" borderId="34" xfId="1" applyNumberFormat="1" applyFont="1" applyBorder="1"/>
    <xf numFmtId="164" fontId="0" fillId="0" borderId="0" xfId="0" applyNumberFormat="1"/>
    <xf numFmtId="10" fontId="0" fillId="0" borderId="0" xfId="3" applyNumberFormat="1" applyFont="1"/>
    <xf numFmtId="43" fontId="0" fillId="0" borderId="0" xfId="0" applyNumberFormat="1"/>
    <xf numFmtId="0" fontId="3" fillId="0" borderId="34" xfId="0" applyFont="1" applyBorder="1"/>
    <xf numFmtId="0" fontId="0" fillId="0" borderId="34" xfId="0" applyBorder="1"/>
    <xf numFmtId="41" fontId="3" fillId="0" borderId="34" xfId="0" applyNumberFormat="1" applyFont="1" applyBorder="1"/>
    <xf numFmtId="0" fontId="12" fillId="0" borderId="0" xfId="0" applyFont="1"/>
    <xf numFmtId="10" fontId="12" fillId="0" borderId="0" xfId="3" applyNumberFormat="1" applyFont="1"/>
    <xf numFmtId="0" fontId="12" fillId="0" borderId="0" xfId="3" applyNumberFormat="1" applyFont="1"/>
    <xf numFmtId="10" fontId="3" fillId="0" borderId="0" xfId="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3" fillId="0" borderId="34" xfId="3" applyNumberFormat="1" applyFont="1" applyBorder="1" applyAlignment="1">
      <alignment horizontal="center"/>
    </xf>
    <xf numFmtId="41" fontId="0" fillId="0" borderId="0" xfId="0" applyNumberFormat="1"/>
    <xf numFmtId="167" fontId="0" fillId="0" borderId="0" xfId="0" applyNumberFormat="1"/>
    <xf numFmtId="0" fontId="14" fillId="0" borderId="3" xfId="4" applyFont="1" applyBorder="1"/>
    <xf numFmtId="44" fontId="15" fillId="0" borderId="3" xfId="4" applyNumberFormat="1" applyFont="1" applyBorder="1"/>
    <xf numFmtId="0" fontId="15" fillId="0" borderId="3" xfId="4" applyFont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0" xfId="4" applyFont="1"/>
    <xf numFmtId="0" fontId="15" fillId="0" borderId="0" xfId="4" applyFont="1" applyBorder="1" applyAlignment="1">
      <alignment horizontal="right"/>
    </xf>
    <xf numFmtId="0" fontId="15" fillId="0" borderId="3" xfId="4" applyFont="1" applyBorder="1" applyAlignment="1">
      <alignment horizontal="center" wrapText="1"/>
    </xf>
    <xf numFmtId="0" fontId="15" fillId="0" borderId="3" xfId="4" applyFont="1" applyBorder="1" applyAlignment="1">
      <alignment horizontal="right"/>
    </xf>
    <xf numFmtId="164" fontId="6" fillId="0" borderId="3" xfId="1" applyNumberFormat="1" applyFont="1" applyBorder="1"/>
    <xf numFmtId="0" fontId="0" fillId="0" borderId="6" xfId="0" applyFont="1" applyFill="1" applyBorder="1" applyAlignment="1">
      <alignment horizontal="right"/>
    </xf>
    <xf numFmtId="0" fontId="8" fillId="0" borderId="0" xfId="0" applyFont="1" applyFill="1" applyBorder="1"/>
    <xf numFmtId="164" fontId="2" fillId="0" borderId="3" xfId="1" applyNumberFormat="1" applyFont="1" applyBorder="1"/>
    <xf numFmtId="0" fontId="7" fillId="0" borderId="3" xfId="0" applyFont="1" applyBorder="1" applyAlignment="1">
      <alignment horizontal="center"/>
    </xf>
    <xf numFmtId="0" fontId="11" fillId="8" borderId="22" xfId="0" applyFont="1" applyFill="1" applyBorder="1" applyAlignment="1">
      <alignment wrapText="1"/>
    </xf>
    <xf numFmtId="164" fontId="6" fillId="8" borderId="16" xfId="1" applyNumberFormat="1" applyFont="1" applyFill="1" applyBorder="1"/>
    <xf numFmtId="0" fontId="0" fillId="0" borderId="3" xfId="0" applyBorder="1"/>
    <xf numFmtId="0" fontId="0" fillId="0" borderId="3" xfId="0" applyFont="1" applyBorder="1"/>
    <xf numFmtId="164" fontId="1" fillId="0" borderId="3" xfId="1" applyNumberFormat="1" applyFont="1" applyFill="1" applyBorder="1"/>
    <xf numFmtId="164" fontId="5" fillId="2" borderId="3" xfId="0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6" fillId="0" borderId="3" xfId="1" applyNumberFormat="1" applyFont="1" applyFill="1" applyBorder="1"/>
    <xf numFmtId="0" fontId="21" fillId="0" borderId="0" xfId="0" applyFont="1" applyAlignment="1">
      <alignment horizontal="right"/>
    </xf>
    <xf numFmtId="43" fontId="1" fillId="0" borderId="3" xfId="1" applyNumberFormat="1" applyFont="1" applyBorder="1"/>
    <xf numFmtId="43" fontId="1" fillId="0" borderId="3" xfId="1" applyNumberFormat="1" applyFont="1" applyFill="1" applyBorder="1"/>
    <xf numFmtId="0" fontId="8" fillId="0" borderId="3" xfId="0" applyFont="1" applyBorder="1"/>
    <xf numFmtId="43" fontId="0" fillId="0" borderId="0" xfId="1" applyFont="1"/>
    <xf numFmtId="0" fontId="18" fillId="0" borderId="3" xfId="4" applyFont="1" applyFill="1" applyBorder="1" applyAlignment="1">
      <alignment horizontal="center"/>
    </xf>
    <xf numFmtId="44" fontId="14" fillId="6" borderId="3" xfId="4" applyNumberFormat="1" applyFont="1" applyFill="1" applyBorder="1"/>
    <xf numFmtId="165" fontId="14" fillId="6" borderId="3" xfId="4" applyNumberFormat="1" applyFont="1" applyFill="1" applyBorder="1"/>
    <xf numFmtId="165" fontId="14" fillId="0" borderId="3" xfId="4" applyNumberFormat="1" applyFont="1" applyFill="1" applyBorder="1"/>
    <xf numFmtId="44" fontId="14" fillId="0" borderId="0" xfId="4" applyNumberFormat="1" applyFont="1" applyFill="1" applyBorder="1"/>
    <xf numFmtId="164" fontId="22" fillId="6" borderId="3" xfId="1" applyNumberFormat="1" applyFont="1" applyFill="1" applyBorder="1" applyAlignment="1">
      <alignment horizontal="center"/>
    </xf>
    <xf numFmtId="164" fontId="22" fillId="10" borderId="3" xfId="1" applyNumberFormat="1" applyFont="1" applyFill="1" applyBorder="1" applyAlignment="1">
      <alignment horizontal="center"/>
    </xf>
    <xf numFmtId="164" fontId="23" fillId="6" borderId="3" xfId="1" applyNumberFormat="1" applyFont="1" applyFill="1" applyBorder="1"/>
    <xf numFmtId="164" fontId="23" fillId="10" borderId="3" xfId="1" applyNumberFormat="1" applyFont="1" applyFill="1" applyBorder="1"/>
    <xf numFmtId="164" fontId="23" fillId="6" borderId="3" xfId="1" applyNumberFormat="1" applyFont="1" applyFill="1" applyBorder="1" applyAlignment="1">
      <alignment horizontal="center"/>
    </xf>
    <xf numFmtId="164" fontId="23" fillId="0" borderId="3" xfId="1" applyNumberFormat="1" applyFont="1" applyFill="1" applyBorder="1"/>
    <xf numFmtId="164" fontId="23" fillId="10" borderId="3" xfId="1" applyNumberFormat="1" applyFont="1" applyFill="1" applyBorder="1" applyAlignment="1">
      <alignment horizontal="center"/>
    </xf>
    <xf numFmtId="164" fontId="0" fillId="10" borderId="0" xfId="1" applyNumberFormat="1" applyFont="1" applyFill="1"/>
    <xf numFmtId="0" fontId="3" fillId="0" borderId="0" xfId="0" applyFont="1" applyAlignment="1">
      <alignment horizontal="center"/>
    </xf>
    <xf numFmtId="0" fontId="25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164" fontId="25" fillId="0" borderId="3" xfId="1" applyNumberFormat="1" applyFont="1" applyBorder="1"/>
    <xf numFmtId="0" fontId="25" fillId="2" borderId="3" xfId="0" applyFont="1" applyFill="1" applyBorder="1" applyAlignment="1">
      <alignment horizontal="center"/>
    </xf>
    <xf numFmtId="164" fontId="25" fillId="0" borderId="3" xfId="0" applyNumberFormat="1" applyFont="1" applyBorder="1"/>
    <xf numFmtId="166" fontId="25" fillId="0" borderId="3" xfId="3" applyNumberFormat="1" applyFont="1" applyBorder="1"/>
    <xf numFmtId="0" fontId="28" fillId="0" borderId="3" xfId="0" applyFont="1" applyBorder="1"/>
    <xf numFmtId="164" fontId="28" fillId="0" borderId="3" xfId="0" applyNumberFormat="1" applyFont="1" applyBorder="1"/>
    <xf numFmtId="166" fontId="28" fillId="0" borderId="3" xfId="3" applyNumberFormat="1" applyFont="1" applyBorder="1"/>
    <xf numFmtId="164" fontId="27" fillId="0" borderId="0" xfId="0" applyNumberFormat="1" applyFont="1"/>
    <xf numFmtId="10" fontId="21" fillId="0" borderId="0" xfId="3" applyNumberFormat="1" applyFont="1"/>
    <xf numFmtId="0" fontId="27" fillId="0" borderId="0" xfId="0" applyFont="1" applyAlignment="1">
      <alignment horizontal="left"/>
    </xf>
    <xf numFmtId="43" fontId="27" fillId="0" borderId="0" xfId="0" applyNumberFormat="1" applyFont="1" applyAlignment="1">
      <alignment horizontal="left"/>
    </xf>
    <xf numFmtId="164" fontId="0" fillId="9" borderId="3" xfId="1" applyNumberFormat="1" applyFont="1" applyFill="1" applyBorder="1"/>
    <xf numFmtId="168" fontId="0" fillId="0" borderId="3" xfId="1" applyNumberFormat="1" applyFont="1" applyBorder="1"/>
    <xf numFmtId="0" fontId="15" fillId="0" borderId="0" xfId="4" applyFont="1" applyFill="1" applyBorder="1" applyAlignment="1">
      <alignment horizontal="center"/>
    </xf>
    <xf numFmtId="164" fontId="23" fillId="0" borderId="0" xfId="1" applyNumberFormat="1" applyFont="1" applyFill="1" applyBorder="1"/>
    <xf numFmtId="44" fontId="15" fillId="0" borderId="0" xfId="4" applyNumberFormat="1" applyFont="1" applyFill="1" applyBorder="1"/>
    <xf numFmtId="0" fontId="14" fillId="0" borderId="0" xfId="4" applyFont="1" applyFill="1" applyBorder="1"/>
    <xf numFmtId="0" fontId="0" fillId="0" borderId="0" xfId="0" applyFill="1"/>
    <xf numFmtId="44" fontId="14" fillId="10" borderId="3" xfId="4" applyNumberFormat="1" applyFont="1" applyFill="1" applyBorder="1"/>
    <xf numFmtId="165" fontId="14" fillId="10" borderId="3" xfId="4" applyNumberFormat="1" applyFont="1" applyFill="1" applyBorder="1"/>
    <xf numFmtId="169" fontId="27" fillId="0" borderId="0" xfId="0" applyNumberFormat="1" applyFont="1" applyAlignment="1">
      <alignment horizontal="left"/>
    </xf>
    <xf numFmtId="0" fontId="14" fillId="0" borderId="0" xfId="4" applyFont="1" applyAlignment="1">
      <alignment horizontal="center"/>
    </xf>
    <xf numFmtId="0" fontId="0" fillId="10" borderId="3" xfId="0" applyFill="1" applyBorder="1"/>
    <xf numFmtId="9" fontId="27" fillId="0" borderId="0" xfId="0" applyNumberFormat="1" applyFont="1" applyAlignment="1">
      <alignment horizontal="left"/>
    </xf>
    <xf numFmtId="164" fontId="0" fillId="7" borderId="3" xfId="1" applyNumberFormat="1" applyFont="1" applyFill="1" applyBorder="1"/>
    <xf numFmtId="9" fontId="1" fillId="0" borderId="3" xfId="3" applyFont="1" applyBorder="1"/>
    <xf numFmtId="0" fontId="13" fillId="0" borderId="0" xfId="4"/>
    <xf numFmtId="9" fontId="29" fillId="0" borderId="0" xfId="5" applyFont="1"/>
    <xf numFmtId="170" fontId="23" fillId="0" borderId="36" xfId="4" applyNumberFormat="1" applyFont="1" applyBorder="1" applyAlignment="1">
      <alignment vertical="center" wrapText="1"/>
    </xf>
    <xf numFmtId="0" fontId="23" fillId="0" borderId="36" xfId="4" applyFont="1" applyBorder="1" applyAlignment="1">
      <alignment vertical="center" wrapText="1"/>
    </xf>
    <xf numFmtId="0" fontId="29" fillId="0" borderId="0" xfId="4" applyFont="1"/>
    <xf numFmtId="171" fontId="23" fillId="0" borderId="37" xfId="4" applyNumberFormat="1" applyFont="1" applyBorder="1" applyAlignment="1">
      <alignment vertical="center" wrapText="1"/>
    </xf>
    <xf numFmtId="0" fontId="23" fillId="0" borderId="38" xfId="4" applyFont="1" applyBorder="1" applyAlignment="1">
      <alignment vertical="center" wrapText="1"/>
    </xf>
    <xf numFmtId="0" fontId="23" fillId="0" borderId="37" xfId="4" applyFont="1" applyBorder="1" applyAlignment="1">
      <alignment vertical="center" wrapText="1"/>
    </xf>
    <xf numFmtId="170" fontId="23" fillId="0" borderId="37" xfId="4" applyNumberFormat="1" applyFont="1" applyBorder="1" applyAlignment="1">
      <alignment vertical="center" wrapText="1"/>
    </xf>
    <xf numFmtId="170" fontId="29" fillId="0" borderId="0" xfId="4" applyNumberFormat="1" applyFont="1"/>
    <xf numFmtId="170" fontId="13" fillId="0" borderId="0" xfId="4" applyNumberFormat="1"/>
    <xf numFmtId="0" fontId="23" fillId="0" borderId="37" xfId="4" applyFont="1" applyBorder="1" applyAlignment="1">
      <alignment horizontal="right" vertical="center" wrapText="1"/>
    </xf>
    <xf numFmtId="170" fontId="23" fillId="0" borderId="39" xfId="4" applyNumberFormat="1" applyFont="1" applyBorder="1" applyAlignment="1">
      <alignment vertical="center" wrapText="1"/>
    </xf>
    <xf numFmtId="0" fontId="23" fillId="0" borderId="40" xfId="4" applyFont="1" applyBorder="1" applyAlignment="1">
      <alignment horizontal="right" vertical="center" wrapText="1"/>
    </xf>
    <xf numFmtId="0" fontId="23" fillId="0" borderId="35" xfId="4" applyFont="1" applyBorder="1" applyAlignment="1">
      <alignment horizontal="right" vertical="center" wrapText="1"/>
    </xf>
    <xf numFmtId="0" fontId="23" fillId="0" borderId="31" xfId="4" applyFont="1" applyBorder="1" applyAlignment="1">
      <alignment horizontal="right" vertical="center" wrapText="1"/>
    </xf>
    <xf numFmtId="0" fontId="23" fillId="0" borderId="42" xfId="4" applyFont="1" applyBorder="1" applyAlignment="1">
      <alignment horizontal="right" vertical="center" wrapText="1"/>
    </xf>
    <xf numFmtId="0" fontId="23" fillId="0" borderId="43" xfId="4" applyFont="1" applyBorder="1" applyAlignment="1">
      <alignment horizontal="right" vertical="center" wrapText="1"/>
    </xf>
    <xf numFmtId="0" fontId="23" fillId="0" borderId="19" xfId="4" applyFont="1" applyBorder="1" applyAlignment="1">
      <alignment horizontal="right" vertical="center" wrapText="1"/>
    </xf>
    <xf numFmtId="170" fontId="30" fillId="0" borderId="0" xfId="4" applyNumberFormat="1" applyFont="1"/>
    <xf numFmtId="170" fontId="31" fillId="0" borderId="0" xfId="4" quotePrefix="1" applyNumberFormat="1" applyFont="1"/>
    <xf numFmtId="170" fontId="32" fillId="0" borderId="0" xfId="4" quotePrefix="1" applyNumberFormat="1" applyFont="1"/>
    <xf numFmtId="10" fontId="29" fillId="0" borderId="0" xfId="5" applyNumberFormat="1" applyFont="1"/>
    <xf numFmtId="0" fontId="33" fillId="0" borderId="0" xfId="4" quotePrefix="1" applyFont="1" applyAlignment="1">
      <alignment horizontal="left" vertical="center"/>
    </xf>
    <xf numFmtId="0" fontId="23" fillId="11" borderId="19" xfId="4" applyFont="1" applyFill="1" applyBorder="1" applyAlignment="1">
      <alignment horizontal="right" vertical="center" wrapText="1"/>
    </xf>
    <xf numFmtId="170" fontId="32" fillId="0" borderId="0" xfId="4" applyNumberFormat="1" applyFont="1"/>
    <xf numFmtId="0" fontId="33" fillId="0" borderId="0" xfId="4" applyFont="1" applyAlignment="1">
      <alignment vertical="center"/>
    </xf>
    <xf numFmtId="0" fontId="34" fillId="0" borderId="0" xfId="4" applyFont="1"/>
    <xf numFmtId="0" fontId="35" fillId="0" borderId="0" xfId="4" applyFont="1"/>
    <xf numFmtId="0" fontId="36" fillId="0" borderId="0" xfId="4" applyFont="1"/>
    <xf numFmtId="0" fontId="37" fillId="12" borderId="0" xfId="4" applyFont="1" applyFill="1"/>
    <xf numFmtId="0" fontId="38" fillId="12" borderId="0" xfId="4" applyFont="1" applyFill="1"/>
    <xf numFmtId="0" fontId="38" fillId="13" borderId="0" xfId="4" applyFont="1" applyFill="1"/>
    <xf numFmtId="40" fontId="13" fillId="0" borderId="0" xfId="4" applyNumberFormat="1"/>
    <xf numFmtId="0" fontId="39" fillId="0" borderId="0" xfId="4" applyFont="1" applyAlignment="1">
      <alignment vertical="center"/>
    </xf>
    <xf numFmtId="0" fontId="40" fillId="0" borderId="0" xfId="4" applyFont="1"/>
    <xf numFmtId="0" fontId="41" fillId="0" borderId="0" xfId="4" applyFont="1" applyAlignment="1">
      <alignment vertical="center" wrapText="1"/>
    </xf>
    <xf numFmtId="170" fontId="23" fillId="0" borderId="36" xfId="4" applyNumberFormat="1" applyFont="1" applyBorder="1" applyAlignment="1">
      <alignment horizontal="center" vertical="center" wrapText="1"/>
    </xf>
    <xf numFmtId="0" fontId="33" fillId="0" borderId="36" xfId="4" applyFont="1" applyBorder="1" applyAlignment="1">
      <alignment vertical="center" wrapText="1"/>
    </xf>
    <xf numFmtId="170" fontId="23" fillId="0" borderId="48" xfId="4" applyNumberFormat="1" applyFont="1" applyBorder="1" applyAlignment="1">
      <alignment horizontal="center" vertical="center" wrapText="1"/>
    </xf>
    <xf numFmtId="0" fontId="33" fillId="0" borderId="48" xfId="4" applyFont="1" applyBorder="1" applyAlignment="1">
      <alignment vertical="center" wrapText="1"/>
    </xf>
    <xf numFmtId="170" fontId="23" fillId="0" borderId="49" xfId="4" applyNumberFormat="1" applyFont="1" applyBorder="1" applyAlignment="1">
      <alignment horizontal="center" vertical="center" wrapText="1"/>
    </xf>
    <xf numFmtId="172" fontId="23" fillId="0" borderId="49" xfId="4" applyNumberFormat="1" applyFont="1" applyBorder="1" applyAlignment="1">
      <alignment horizontal="center" vertical="center" wrapText="1"/>
    </xf>
    <xf numFmtId="0" fontId="33" fillId="0" borderId="49" xfId="4" applyFont="1" applyBorder="1" applyAlignment="1">
      <alignment vertical="center" wrapText="1"/>
    </xf>
    <xf numFmtId="170" fontId="23" fillId="0" borderId="37" xfId="4" applyNumberFormat="1" applyFont="1" applyBorder="1" applyAlignment="1">
      <alignment horizontal="center" vertical="center" wrapText="1"/>
    </xf>
    <xf numFmtId="172" fontId="23" fillId="0" borderId="37" xfId="4" applyNumberFormat="1" applyFont="1" applyBorder="1" applyAlignment="1">
      <alignment horizontal="center" vertical="center" wrapText="1"/>
    </xf>
    <xf numFmtId="0" fontId="33" fillId="14" borderId="49" xfId="4" applyFont="1" applyFill="1" applyBorder="1" applyAlignment="1">
      <alignment vertical="center" wrapText="1"/>
    </xf>
    <xf numFmtId="0" fontId="33" fillId="0" borderId="0" xfId="4" applyFont="1" applyAlignment="1">
      <alignment horizontal="justify" vertical="center" wrapText="1"/>
    </xf>
    <xf numFmtId="0" fontId="33" fillId="0" borderId="0" xfId="4" applyFont="1" applyAlignment="1">
      <alignment vertical="center" wrapText="1"/>
    </xf>
    <xf numFmtId="0" fontId="13" fillId="0" borderId="0" xfId="4" applyAlignment="1">
      <alignment horizontal="center"/>
    </xf>
    <xf numFmtId="0" fontId="33" fillId="14" borderId="49" xfId="4" applyFont="1" applyFill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171" fontId="23" fillId="0" borderId="36" xfId="4" applyNumberFormat="1" applyFont="1" applyBorder="1" applyAlignment="1">
      <alignment horizontal="center" vertical="center" wrapText="1"/>
    </xf>
    <xf numFmtId="173" fontId="13" fillId="0" borderId="0" xfId="4" applyNumberFormat="1"/>
    <xf numFmtId="0" fontId="33" fillId="14" borderId="34" xfId="4" applyFont="1" applyFill="1" applyBorder="1" applyAlignment="1">
      <alignment vertical="center" wrapText="1"/>
    </xf>
    <xf numFmtId="170" fontId="23" fillId="0" borderId="39" xfId="4" applyNumberFormat="1" applyFont="1" applyBorder="1" applyAlignment="1">
      <alignment horizontal="center" vertical="center" wrapText="1"/>
    </xf>
    <xf numFmtId="0" fontId="23" fillId="0" borderId="39" xfId="4" applyFont="1" applyBorder="1" applyAlignment="1">
      <alignment vertical="center" wrapText="1"/>
    </xf>
    <xf numFmtId="0" fontId="33" fillId="14" borderId="50" xfId="4" applyFont="1" applyFill="1" applyBorder="1" applyAlignment="1">
      <alignment vertical="center" wrapText="1"/>
    </xf>
    <xf numFmtId="0" fontId="33" fillId="14" borderId="18" xfId="4" applyFont="1" applyFill="1" applyBorder="1" applyAlignment="1">
      <alignment vertical="center" wrapText="1"/>
    </xf>
    <xf numFmtId="0" fontId="23" fillId="0" borderId="0" xfId="4" applyFont="1" applyAlignment="1">
      <alignment vertical="center" wrapText="1"/>
    </xf>
    <xf numFmtId="0" fontId="33" fillId="0" borderId="43" xfId="4" applyFont="1" applyBorder="1" applyAlignment="1">
      <alignment vertical="center" wrapText="1"/>
    </xf>
    <xf numFmtId="170" fontId="23" fillId="0" borderId="38" xfId="4" applyNumberFormat="1" applyFont="1" applyBorder="1" applyAlignment="1">
      <alignment horizontal="center" vertical="center" wrapText="1"/>
    </xf>
    <xf numFmtId="0" fontId="33" fillId="14" borderId="51" xfId="4" applyFont="1" applyFill="1" applyBorder="1" applyAlignment="1">
      <alignment horizontal="center" vertical="center" wrapText="1"/>
    </xf>
    <xf numFmtId="0" fontId="33" fillId="14" borderId="52" xfId="4" applyFont="1" applyFill="1" applyBorder="1" applyAlignment="1">
      <alignment horizontal="center" vertical="center" wrapText="1"/>
    </xf>
    <xf numFmtId="0" fontId="33" fillId="14" borderId="53" xfId="4" applyFont="1" applyFill="1" applyBorder="1" applyAlignment="1">
      <alignment horizontal="right" vertical="center" wrapText="1" indent="4"/>
    </xf>
    <xf numFmtId="0" fontId="42" fillId="0" borderId="0" xfId="4" applyFont="1"/>
    <xf numFmtId="0" fontId="23" fillId="0" borderId="0" xfId="4" applyFont="1" applyAlignment="1">
      <alignment vertical="center"/>
    </xf>
    <xf numFmtId="170" fontId="33" fillId="0" borderId="0" xfId="4" applyNumberFormat="1" applyFont="1" applyAlignment="1">
      <alignment vertical="center" wrapText="1"/>
    </xf>
    <xf numFmtId="170" fontId="33" fillId="0" borderId="43" xfId="4" applyNumberFormat="1" applyFont="1" applyBorder="1" applyAlignment="1">
      <alignment horizontal="center" vertical="center" wrapText="1"/>
    </xf>
    <xf numFmtId="174" fontId="37" fillId="0" borderId="40" xfId="4" applyNumberFormat="1" applyFont="1" applyBorder="1"/>
    <xf numFmtId="174" fontId="37" fillId="0" borderId="35" xfId="4" applyNumberFormat="1" applyFont="1" applyBorder="1"/>
    <xf numFmtId="174" fontId="37" fillId="0" borderId="31" xfId="4" applyNumberFormat="1" applyFont="1" applyBorder="1"/>
    <xf numFmtId="174" fontId="37" fillId="0" borderId="42" xfId="4" applyNumberFormat="1" applyFont="1" applyBorder="1"/>
    <xf numFmtId="174" fontId="37" fillId="0" borderId="43" xfId="4" applyNumberFormat="1" applyFont="1" applyBorder="1"/>
    <xf numFmtId="174" fontId="43" fillId="11" borderId="19" xfId="4" applyNumberFormat="1" applyFont="1" applyFill="1" applyBorder="1"/>
    <xf numFmtId="170" fontId="37" fillId="0" borderId="43" xfId="4" applyNumberFormat="1" applyFont="1" applyBorder="1" applyAlignment="1">
      <alignment horizontal="right"/>
    </xf>
    <xf numFmtId="170" fontId="13" fillId="0" borderId="42" xfId="4" applyNumberFormat="1" applyBorder="1"/>
    <xf numFmtId="170" fontId="13" fillId="0" borderId="43" xfId="4" applyNumberFormat="1" applyBorder="1"/>
    <xf numFmtId="170" fontId="37" fillId="0" borderId="19" xfId="4" applyNumberFormat="1" applyFont="1" applyBorder="1"/>
    <xf numFmtId="0" fontId="44" fillId="0" borderId="0" xfId="4" applyFont="1"/>
    <xf numFmtId="168" fontId="0" fillId="0" borderId="0" xfId="0" applyNumberFormat="1"/>
    <xf numFmtId="0" fontId="3" fillId="15" borderId="34" xfId="0" applyFont="1" applyFill="1" applyBorder="1"/>
    <xf numFmtId="164" fontId="8" fillId="15" borderId="34" xfId="0" applyNumberFormat="1" applyFont="1" applyFill="1" applyBorder="1"/>
    <xf numFmtId="0" fontId="8" fillId="0" borderId="0" xfId="0" applyFont="1"/>
    <xf numFmtId="164" fontId="8" fillId="0" borderId="0" xfId="1" applyNumberFormat="1" applyFont="1" applyBorder="1"/>
    <xf numFmtId="0" fontId="3" fillId="5" borderId="34" xfId="0" applyFont="1" applyFill="1" applyBorder="1"/>
    <xf numFmtId="164" fontId="8" fillId="5" borderId="34" xfId="1" applyNumberFormat="1" applyFont="1" applyFill="1" applyBorder="1"/>
    <xf numFmtId="43" fontId="5" fillId="15" borderId="34" xfId="1" applyFont="1" applyFill="1" applyBorder="1"/>
    <xf numFmtId="0" fontId="3" fillId="6" borderId="34" xfId="0" applyFont="1" applyFill="1" applyBorder="1"/>
    <xf numFmtId="41" fontId="8" fillId="16" borderId="0" xfId="0" applyNumberFormat="1" applyFont="1" applyFill="1"/>
    <xf numFmtId="41" fontId="8" fillId="3" borderId="0" xfId="0" applyNumberFormat="1" applyFont="1" applyFill="1"/>
    <xf numFmtId="0" fontId="1" fillId="6" borderId="34" xfId="0" applyFont="1" applyFill="1" applyBorder="1"/>
    <xf numFmtId="164" fontId="7" fillId="6" borderId="34" xfId="1" applyNumberFormat="1" applyFont="1" applyFill="1" applyBorder="1"/>
    <xf numFmtId="10" fontId="0" fillId="0" borderId="0" xfId="0" applyNumberFormat="1"/>
    <xf numFmtId="164" fontId="12" fillId="0" borderId="0" xfId="0" applyNumberFormat="1" applyFont="1"/>
    <xf numFmtId="0" fontId="45" fillId="0" borderId="0" xfId="0" applyFont="1"/>
    <xf numFmtId="164" fontId="0" fillId="0" borderId="20" xfId="0" applyNumberFormat="1" applyBorder="1"/>
    <xf numFmtId="38" fontId="3" fillId="0" borderId="54" xfId="0" applyNumberFormat="1" applyFont="1" applyBorder="1"/>
    <xf numFmtId="0" fontId="3" fillId="0" borderId="0" xfId="0" applyFont="1" applyAlignment="1">
      <alignment horizontal="right"/>
    </xf>
    <xf numFmtId="164" fontId="0" fillId="0" borderId="20" xfId="1" applyNumberFormat="1" applyFont="1" applyFill="1" applyBorder="1"/>
    <xf numFmtId="38" fontId="0" fillId="0" borderId="9" xfId="1" applyNumberFormat="1" applyFont="1" applyBorder="1"/>
    <xf numFmtId="164" fontId="3" fillId="0" borderId="0" xfId="1" applyNumberFormat="1" applyFont="1" applyAlignment="1">
      <alignment horizontal="right"/>
    </xf>
    <xf numFmtId="164" fontId="11" fillId="0" borderId="0" xfId="1" applyNumberFormat="1" applyFont="1" applyFill="1" applyBorder="1"/>
    <xf numFmtId="38" fontId="11" fillId="8" borderId="55" xfId="1" applyNumberFormat="1" applyFont="1" applyFill="1" applyBorder="1"/>
    <xf numFmtId="38" fontId="11" fillId="8" borderId="30" xfId="1" applyNumberFormat="1" applyFont="1" applyFill="1" applyBorder="1"/>
    <xf numFmtId="0" fontId="11" fillId="8" borderId="24" xfId="0" applyFont="1" applyFill="1" applyBorder="1"/>
    <xf numFmtId="164" fontId="0" fillId="0" borderId="56" xfId="1" applyNumberFormat="1" applyFont="1" applyBorder="1"/>
    <xf numFmtId="164" fontId="0" fillId="0" borderId="6" xfId="1" applyNumberFormat="1" applyFont="1" applyBorder="1"/>
    <xf numFmtId="164" fontId="0" fillId="0" borderId="57" xfId="1" applyNumberFormat="1" applyFont="1" applyBorder="1"/>
    <xf numFmtId="164" fontId="8" fillId="0" borderId="58" xfId="0" applyNumberFormat="1" applyFont="1" applyBorder="1"/>
    <xf numFmtId="164" fontId="0" fillId="0" borderId="13" xfId="1" applyNumberFormat="1" applyFont="1" applyBorder="1"/>
    <xf numFmtId="0" fontId="3" fillId="0" borderId="59" xfId="0" applyFont="1" applyBorder="1"/>
    <xf numFmtId="164" fontId="0" fillId="0" borderId="60" xfId="1" applyNumberFormat="1" applyFont="1" applyBorder="1"/>
    <xf numFmtId="164" fontId="0" fillId="0" borderId="61" xfId="1" applyNumberFormat="1" applyFont="1" applyBorder="1"/>
    <xf numFmtId="164" fontId="0" fillId="0" borderId="62" xfId="1" applyNumberFormat="1" applyFont="1" applyBorder="1"/>
    <xf numFmtId="164" fontId="8" fillId="0" borderId="8" xfId="0" applyNumberFormat="1" applyFont="1" applyBorder="1"/>
    <xf numFmtId="0" fontId="10" fillId="0" borderId="18" xfId="0" applyFont="1" applyBorder="1"/>
    <xf numFmtId="0" fontId="8" fillId="0" borderId="59" xfId="0" applyFont="1" applyBorder="1"/>
    <xf numFmtId="164" fontId="0" fillId="0" borderId="9" xfId="1" applyNumberFormat="1" applyFont="1" applyBorder="1" applyAlignment="1">
      <alignment horizontal="right"/>
    </xf>
    <xf numFmtId="0" fontId="8" fillId="0" borderId="59" xfId="0" applyFont="1" applyBorder="1" applyAlignment="1">
      <alignment horizontal="left"/>
    </xf>
    <xf numFmtId="164" fontId="0" fillId="0" borderId="59" xfId="1" applyNumberFormat="1" applyFont="1" applyBorder="1"/>
    <xf numFmtId="164" fontId="0" fillId="0" borderId="8" xfId="1" applyNumberFormat="1" applyFont="1" applyBorder="1"/>
    <xf numFmtId="164" fontId="2" fillId="0" borderId="8" xfId="0" applyNumberFormat="1" applyFont="1" applyBorder="1"/>
    <xf numFmtId="0" fontId="23" fillId="0" borderId="59" xfId="0" applyFont="1" applyBorder="1"/>
    <xf numFmtId="43" fontId="0" fillId="0" borderId="9" xfId="1" applyFont="1" applyBorder="1"/>
    <xf numFmtId="164" fontId="3" fillId="17" borderId="60" xfId="1" applyNumberFormat="1" applyFont="1" applyFill="1" applyBorder="1" applyAlignment="1">
      <alignment horizontal="center"/>
    </xf>
    <xf numFmtId="164" fontId="3" fillId="17" borderId="9" xfId="1" applyNumberFormat="1" applyFont="1" applyFill="1" applyBorder="1" applyAlignment="1">
      <alignment horizontal="center"/>
    </xf>
    <xf numFmtId="164" fontId="3" fillId="17" borderId="61" xfId="1" applyNumberFormat="1" applyFont="1" applyFill="1" applyBorder="1" applyAlignment="1">
      <alignment horizontal="center"/>
    </xf>
    <xf numFmtId="164" fontId="3" fillId="17" borderId="62" xfId="1" applyNumberFormat="1" applyFont="1" applyFill="1" applyBorder="1" applyAlignment="1">
      <alignment horizontal="center"/>
    </xf>
    <xf numFmtId="164" fontId="3" fillId="17" borderId="13" xfId="1" applyNumberFormat="1" applyFont="1" applyFill="1" applyBorder="1" applyAlignment="1">
      <alignment horizontal="center"/>
    </xf>
    <xf numFmtId="0" fontId="5" fillId="17" borderId="31" xfId="0" applyFont="1" applyFill="1" applyBorder="1"/>
    <xf numFmtId="0" fontId="5" fillId="0" borderId="0" xfId="0" applyFont="1"/>
    <xf numFmtId="164" fontId="6" fillId="18" borderId="63" xfId="1" applyNumberFormat="1" applyFont="1" applyFill="1" applyBorder="1"/>
    <xf numFmtId="164" fontId="6" fillId="18" borderId="21" xfId="1" applyNumberFormat="1" applyFont="1" applyFill="1" applyBorder="1"/>
    <xf numFmtId="164" fontId="6" fillId="18" borderId="58" xfId="1" applyNumberFormat="1" applyFont="1" applyFill="1" applyBorder="1"/>
    <xf numFmtId="164" fontId="6" fillId="18" borderId="57" xfId="1" applyNumberFormat="1" applyFont="1" applyFill="1" applyBorder="1"/>
    <xf numFmtId="164" fontId="6" fillId="18" borderId="14" xfId="1" applyNumberFormat="1" applyFont="1" applyFill="1" applyBorder="1"/>
    <xf numFmtId="0" fontId="6" fillId="18" borderId="41" xfId="0" applyFont="1" applyFill="1" applyBorder="1"/>
    <xf numFmtId="164" fontId="8" fillId="0" borderId="1" xfId="0" applyNumberFormat="1" applyFont="1" applyBorder="1"/>
    <xf numFmtId="0" fontId="8" fillId="0" borderId="20" xfId="0" applyFont="1" applyBorder="1"/>
    <xf numFmtId="0" fontId="8" fillId="0" borderId="19" xfId="0" applyFont="1" applyBorder="1"/>
    <xf numFmtId="164" fontId="3" fillId="17" borderId="64" xfId="1" applyNumberFormat="1" applyFont="1" applyFill="1" applyBorder="1" applyAlignment="1">
      <alignment horizontal="center"/>
    </xf>
    <xf numFmtId="164" fontId="3" fillId="17" borderId="28" xfId="1" applyNumberFormat="1" applyFont="1" applyFill="1" applyBorder="1" applyAlignment="1">
      <alignment horizontal="center"/>
    </xf>
    <xf numFmtId="164" fontId="3" fillId="17" borderId="65" xfId="1" applyNumberFormat="1" applyFont="1" applyFill="1" applyBorder="1" applyAlignment="1">
      <alignment horizontal="center"/>
    </xf>
    <xf numFmtId="164" fontId="0" fillId="0" borderId="66" xfId="1" applyNumberFormat="1" applyFont="1" applyBorder="1"/>
    <xf numFmtId="0" fontId="0" fillId="0" borderId="66" xfId="0" applyBorder="1"/>
    <xf numFmtId="0" fontId="3" fillId="0" borderId="3" xfId="0" applyFont="1" applyBorder="1" applyAlignment="1">
      <alignment horizontal="center"/>
    </xf>
    <xf numFmtId="43" fontId="0" fillId="0" borderId="3" xfId="0" applyNumberFormat="1" applyBorder="1"/>
    <xf numFmtId="0" fontId="3" fillId="0" borderId="3" xfId="0" applyFont="1" applyBorder="1" applyAlignment="1">
      <alignment horizontal="right"/>
    </xf>
    <xf numFmtId="43" fontId="3" fillId="0" borderId="3" xfId="0" applyNumberFormat="1" applyFont="1" applyBorder="1"/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/>
    <xf numFmtId="10" fontId="0" fillId="0" borderId="3" xfId="3" applyNumberFormat="1" applyFont="1" applyBorder="1" applyAlignment="1">
      <alignment horizontal="center"/>
    </xf>
    <xf numFmtId="164" fontId="3" fillId="0" borderId="3" xfId="0" applyNumberFormat="1" applyFont="1" applyBorder="1"/>
    <xf numFmtId="172" fontId="13" fillId="0" borderId="0" xfId="4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3" applyFont="1" applyAlignment="1">
      <alignment horizontal="right"/>
    </xf>
    <xf numFmtId="172" fontId="23" fillId="0" borderId="37" xfId="4" applyNumberFormat="1" applyFont="1" applyBorder="1" applyAlignment="1">
      <alignment horizontal="center" vertical="center" wrapText="1"/>
    </xf>
    <xf numFmtId="10" fontId="0" fillId="0" borderId="3" xfId="3" applyNumberFormat="1" applyFont="1" applyBorder="1"/>
    <xf numFmtId="43" fontId="0" fillId="0" borderId="3" xfId="1" applyFont="1" applyFill="1" applyBorder="1"/>
    <xf numFmtId="43" fontId="0" fillId="0" borderId="3" xfId="1" applyFont="1" applyBorder="1"/>
    <xf numFmtId="43" fontId="8" fillId="0" borderId="3" xfId="0" applyNumberFormat="1" applyFont="1" applyBorder="1" applyAlignment="1" applyProtection="1">
      <alignment horizontal="center"/>
      <protection locked="0"/>
    </xf>
    <xf numFmtId="43" fontId="1" fillId="0" borderId="3" xfId="1" applyFont="1" applyBorder="1"/>
    <xf numFmtId="43" fontId="1" fillId="0" borderId="3" xfId="1" applyFont="1" applyFill="1" applyBorder="1"/>
    <xf numFmtId="0" fontId="24" fillId="0" borderId="0" xfId="0" applyFont="1" applyAlignment="1">
      <alignment horizontal="center"/>
    </xf>
    <xf numFmtId="0" fontId="26" fillId="0" borderId="35" xfId="0" applyFont="1" applyBorder="1" applyAlignment="1">
      <alignment horizontal="center"/>
    </xf>
    <xf numFmtId="0" fontId="23" fillId="0" borderId="47" xfId="4" applyFont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0" fontId="23" fillId="0" borderId="41" xfId="4" applyFont="1" applyBorder="1" applyAlignment="1">
      <alignment horizontal="center" vertical="center" wrapText="1"/>
    </xf>
    <xf numFmtId="0" fontId="23" fillId="0" borderId="46" xfId="4" applyFont="1" applyBorder="1" applyAlignment="1">
      <alignment horizontal="center" vertical="center" wrapText="1"/>
    </xf>
    <xf numFmtId="0" fontId="23" fillId="0" borderId="45" xfId="4" applyFont="1" applyBorder="1" applyAlignment="1">
      <alignment horizontal="center" vertical="center" wrapText="1"/>
    </xf>
    <xf numFmtId="0" fontId="23" fillId="0" borderId="44" xfId="4" applyFont="1" applyBorder="1" applyAlignment="1">
      <alignment horizontal="center" vertical="center" wrapText="1"/>
    </xf>
    <xf numFmtId="170" fontId="23" fillId="0" borderId="37" xfId="4" applyNumberFormat="1" applyFont="1" applyBorder="1" applyAlignment="1">
      <alignment horizontal="center" vertical="center" wrapText="1"/>
    </xf>
    <xf numFmtId="0" fontId="33" fillId="14" borderId="18" xfId="4" applyFont="1" applyFill="1" applyBorder="1" applyAlignment="1">
      <alignment horizontal="left" vertical="center" wrapText="1"/>
    </xf>
    <xf numFmtId="0" fontId="33" fillId="14" borderId="34" xfId="4" applyFont="1" applyFill="1" applyBorder="1" applyAlignment="1">
      <alignment horizontal="left" vertical="center" wrapText="1"/>
    </xf>
    <xf numFmtId="0" fontId="33" fillId="14" borderId="50" xfId="4" applyFont="1" applyFill="1" applyBorder="1" applyAlignment="1">
      <alignment horizontal="left" vertical="center" wrapText="1"/>
    </xf>
    <xf numFmtId="0" fontId="23" fillId="0" borderId="38" xfId="4" applyFont="1" applyBorder="1" applyAlignment="1">
      <alignment horizontal="left" vertical="center" wrapText="1"/>
    </xf>
    <xf numFmtId="0" fontId="23" fillId="0" borderId="39" xfId="4" applyFont="1" applyBorder="1" applyAlignment="1">
      <alignment horizontal="left" vertical="center" wrapText="1"/>
    </xf>
    <xf numFmtId="172" fontId="23" fillId="0" borderId="37" xfId="4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3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8762</xdr:colOff>
      <xdr:row>44</xdr:row>
      <xdr:rowOff>14883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150"/>
          <a:ext cx="6104762" cy="793333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21</xdr:col>
      <xdr:colOff>18286</xdr:colOff>
      <xdr:row>42</xdr:row>
      <xdr:rowOff>87945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84150"/>
          <a:ext cx="6114286" cy="7638095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32</xdr:col>
      <xdr:colOff>8762</xdr:colOff>
      <xdr:row>44</xdr:row>
      <xdr:rowOff>14883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1200" y="184150"/>
          <a:ext cx="6104762" cy="7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zoomScale="75" zoomScaleNormal="75" workbookViewId="0">
      <selection activeCell="F25" sqref="F25"/>
    </sheetView>
  </sheetViews>
  <sheetFormatPr defaultRowHeight="14.5" x14ac:dyDescent="0.35"/>
  <cols>
    <col min="1" max="1" width="10.36328125" customWidth="1"/>
    <col min="2" max="2" width="46.81640625" customWidth="1"/>
    <col min="3" max="3" width="16.36328125" customWidth="1"/>
    <col min="4" max="4" width="14.81640625" customWidth="1"/>
    <col min="5" max="5" width="16.36328125" customWidth="1"/>
    <col min="6" max="7" width="14.81640625" customWidth="1"/>
    <col min="8" max="8" width="10" bestFit="1" customWidth="1"/>
    <col min="9" max="9" width="9.08984375" bestFit="1" customWidth="1"/>
  </cols>
  <sheetData>
    <row r="1" spans="1:7" x14ac:dyDescent="0.35">
      <c r="A1" s="2"/>
      <c r="B1" s="1" t="s">
        <v>406</v>
      </c>
      <c r="C1" s="3" t="s">
        <v>224</v>
      </c>
      <c r="D1" s="3" t="s">
        <v>225</v>
      </c>
      <c r="E1" s="3" t="s">
        <v>15</v>
      </c>
      <c r="F1" s="3" t="s">
        <v>155</v>
      </c>
      <c r="G1" s="3" t="s">
        <v>226</v>
      </c>
    </row>
    <row r="2" spans="1:7" x14ac:dyDescent="0.35">
      <c r="A2" s="4"/>
      <c r="B2" s="6" t="s">
        <v>228</v>
      </c>
      <c r="C2" s="7">
        <v>7074</v>
      </c>
      <c r="D2" s="7">
        <v>0</v>
      </c>
      <c r="E2" s="7">
        <v>0</v>
      </c>
      <c r="F2" s="7">
        <v>0</v>
      </c>
      <c r="G2" s="7">
        <f>SUM(C2:F2)</f>
        <v>7074</v>
      </c>
    </row>
    <row r="3" spans="1:7" hidden="1" x14ac:dyDescent="0.35">
      <c r="A3" s="4"/>
      <c r="B3" s="8"/>
      <c r="C3" s="7">
        <v>0</v>
      </c>
      <c r="D3" s="7">
        <v>0</v>
      </c>
      <c r="E3" s="7"/>
      <c r="F3" s="7">
        <v>0</v>
      </c>
      <c r="G3" s="7">
        <f>SUM(C3:F3)</f>
        <v>0</v>
      </c>
    </row>
    <row r="4" spans="1:7" hidden="1" x14ac:dyDescent="0.35">
      <c r="A4" s="4"/>
      <c r="B4" s="8"/>
      <c r="C4" s="143"/>
      <c r="D4" s="143"/>
      <c r="E4" s="143"/>
      <c r="F4" s="143"/>
      <c r="G4" s="155"/>
    </row>
    <row r="5" spans="1:7" x14ac:dyDescent="0.35">
      <c r="A5" s="156"/>
      <c r="B5" s="8" t="s">
        <v>0</v>
      </c>
      <c r="C5" s="9">
        <f>C6+C7+C8+C9+C10+C11+C12+C13+C14+C15+C16+C17+C18</f>
        <v>965</v>
      </c>
      <c r="D5" s="9"/>
      <c r="E5" s="9"/>
      <c r="F5" s="9"/>
      <c r="G5" s="9">
        <f t="shared" ref="G5:G19" si="0">SUM(C5:F5)</f>
        <v>965</v>
      </c>
    </row>
    <row r="6" spans="1:7" x14ac:dyDescent="0.35">
      <c r="A6" s="156">
        <v>4</v>
      </c>
      <c r="B6" s="10" t="s">
        <v>1</v>
      </c>
      <c r="C6" s="7">
        <f>25*4</f>
        <v>100</v>
      </c>
      <c r="D6" s="11"/>
      <c r="E6" s="11"/>
      <c r="F6" s="11"/>
      <c r="G6" s="9">
        <f t="shared" si="0"/>
        <v>100</v>
      </c>
    </row>
    <row r="7" spans="1:7" x14ac:dyDescent="0.35">
      <c r="A7" s="156">
        <v>4</v>
      </c>
      <c r="B7" s="12" t="s">
        <v>2</v>
      </c>
      <c r="C7" s="7">
        <f>26*4</f>
        <v>104</v>
      </c>
      <c r="D7" s="11"/>
      <c r="E7" s="11"/>
      <c r="F7" s="11"/>
      <c r="G7" s="9">
        <f t="shared" si="0"/>
        <v>104</v>
      </c>
    </row>
    <row r="8" spans="1:7" x14ac:dyDescent="0.35">
      <c r="A8" s="156">
        <v>4</v>
      </c>
      <c r="B8" s="12" t="s">
        <v>3</v>
      </c>
      <c r="C8" s="7">
        <f>26*4</f>
        <v>104</v>
      </c>
      <c r="D8" s="11"/>
      <c r="E8" s="11"/>
      <c r="F8" s="11"/>
      <c r="G8" s="9">
        <f t="shared" si="0"/>
        <v>104</v>
      </c>
    </row>
    <row r="9" spans="1:7" x14ac:dyDescent="0.35">
      <c r="A9" s="156">
        <v>4</v>
      </c>
      <c r="B9" s="13" t="s">
        <v>4</v>
      </c>
      <c r="C9" s="7">
        <f>26*4</f>
        <v>104</v>
      </c>
      <c r="D9" s="11"/>
      <c r="E9" s="11"/>
      <c r="F9" s="11"/>
      <c r="G9" s="9">
        <f t="shared" si="0"/>
        <v>104</v>
      </c>
    </row>
    <row r="10" spans="1:7" x14ac:dyDescent="0.35">
      <c r="A10" s="156">
        <v>4</v>
      </c>
      <c r="B10" s="13" t="s">
        <v>5</v>
      </c>
      <c r="C10" s="7">
        <f>26*4</f>
        <v>104</v>
      </c>
      <c r="D10" s="11"/>
      <c r="E10" s="11"/>
      <c r="F10" s="11"/>
      <c r="G10" s="9">
        <f t="shared" si="0"/>
        <v>104</v>
      </c>
    </row>
    <row r="11" spans="1:7" x14ac:dyDescent="0.35">
      <c r="A11" s="156">
        <v>4</v>
      </c>
      <c r="B11" s="13" t="s">
        <v>6</v>
      </c>
      <c r="C11" s="7">
        <f>(27*4)</f>
        <v>108</v>
      </c>
      <c r="D11" s="11"/>
      <c r="E11" s="11"/>
      <c r="F11" s="11"/>
      <c r="G11" s="9">
        <f t="shared" si="0"/>
        <v>108</v>
      </c>
    </row>
    <row r="12" spans="1:7" x14ac:dyDescent="0.35">
      <c r="A12" s="156">
        <v>4</v>
      </c>
      <c r="B12" s="13" t="s">
        <v>7</v>
      </c>
      <c r="C12" s="7">
        <f>31*4</f>
        <v>124</v>
      </c>
      <c r="D12" s="7"/>
      <c r="E12" s="7"/>
      <c r="F12" s="7"/>
      <c r="G12" s="9">
        <f t="shared" si="0"/>
        <v>124</v>
      </c>
    </row>
    <row r="13" spans="1:7" x14ac:dyDescent="0.35">
      <c r="A13" s="156">
        <v>3</v>
      </c>
      <c r="B13" s="13" t="s">
        <v>8</v>
      </c>
      <c r="C13" s="7">
        <f>31*4</f>
        <v>124</v>
      </c>
      <c r="D13" s="7"/>
      <c r="E13" s="7"/>
      <c r="F13" s="7"/>
      <c r="G13" s="9">
        <f t="shared" si="0"/>
        <v>124</v>
      </c>
    </row>
    <row r="14" spans="1:7" x14ac:dyDescent="0.35">
      <c r="A14" s="156">
        <v>3</v>
      </c>
      <c r="B14" s="13" t="s">
        <v>9</v>
      </c>
      <c r="C14" s="7">
        <f>31*3</f>
        <v>93</v>
      </c>
      <c r="D14" s="7"/>
      <c r="E14" s="7"/>
      <c r="F14" s="7"/>
      <c r="G14" s="9">
        <f t="shared" si="0"/>
        <v>93</v>
      </c>
    </row>
    <row r="15" spans="1:7" x14ac:dyDescent="0.35">
      <c r="A15" s="156"/>
      <c r="B15" s="13" t="s">
        <v>10</v>
      </c>
      <c r="C15" s="7">
        <v>0</v>
      </c>
      <c r="D15" s="7"/>
      <c r="E15" s="7"/>
      <c r="F15" s="7"/>
      <c r="G15" s="9">
        <f t="shared" si="0"/>
        <v>0</v>
      </c>
    </row>
    <row r="16" spans="1:7" x14ac:dyDescent="0.35">
      <c r="A16" s="4"/>
      <c r="B16" s="13" t="s">
        <v>11</v>
      </c>
      <c r="C16" s="7">
        <v>0</v>
      </c>
      <c r="D16" s="7"/>
      <c r="E16" s="7"/>
      <c r="F16" s="7"/>
      <c r="G16" s="9">
        <f t="shared" si="0"/>
        <v>0</v>
      </c>
    </row>
    <row r="17" spans="1:9" x14ac:dyDescent="0.35">
      <c r="A17" s="4"/>
      <c r="B17" s="13" t="s">
        <v>12</v>
      </c>
      <c r="C17" s="7">
        <v>0</v>
      </c>
      <c r="D17" s="7"/>
      <c r="E17" s="7"/>
      <c r="F17" s="7"/>
      <c r="G17" s="9">
        <f t="shared" si="0"/>
        <v>0</v>
      </c>
    </row>
    <row r="18" spans="1:9" x14ac:dyDescent="0.35">
      <c r="A18" s="4"/>
      <c r="B18" s="13" t="s">
        <v>13</v>
      </c>
      <c r="C18" s="7">
        <v>0</v>
      </c>
      <c r="D18" s="7"/>
      <c r="E18" s="7"/>
      <c r="F18" s="7"/>
      <c r="G18" s="9">
        <f t="shared" si="0"/>
        <v>0</v>
      </c>
    </row>
    <row r="19" spans="1:9" x14ac:dyDescent="0.35">
      <c r="A19" s="4"/>
      <c r="B19" s="13" t="s">
        <v>0</v>
      </c>
      <c r="C19" s="9">
        <f>SUM(C6:C18)</f>
        <v>965</v>
      </c>
      <c r="D19" s="9"/>
      <c r="E19" s="9"/>
      <c r="F19" s="9"/>
      <c r="G19" s="9">
        <f t="shared" si="0"/>
        <v>965</v>
      </c>
      <c r="H19" s="120"/>
      <c r="I19" s="160"/>
    </row>
    <row r="20" spans="1:9" x14ac:dyDescent="0.35">
      <c r="A20" s="4"/>
      <c r="B20" s="16"/>
      <c r="C20" s="7"/>
      <c r="D20" s="7"/>
      <c r="E20" s="7"/>
      <c r="F20" s="7"/>
      <c r="G20" s="7"/>
    </row>
    <row r="21" spans="1:9" x14ac:dyDescent="0.35">
      <c r="A21" s="4"/>
      <c r="B21" s="17" t="s">
        <v>14</v>
      </c>
      <c r="C21" s="18"/>
      <c r="D21" s="18"/>
      <c r="E21" s="18"/>
      <c r="F21" s="18"/>
      <c r="G21" s="18"/>
      <c r="I21" s="116"/>
    </row>
    <row r="22" spans="1:9" x14ac:dyDescent="0.35">
      <c r="A22" s="4"/>
      <c r="B22" s="144" t="s">
        <v>207</v>
      </c>
      <c r="C22" s="7"/>
      <c r="D22" s="7"/>
      <c r="E22" s="7">
        <v>100</v>
      </c>
      <c r="F22" s="7"/>
      <c r="G22" s="7">
        <f t="shared" ref="G22:G27" si="1">SUM(C22:F22)</f>
        <v>100</v>
      </c>
    </row>
    <row r="23" spans="1:9" x14ac:dyDescent="0.35">
      <c r="A23" s="4"/>
      <c r="B23" s="144" t="s">
        <v>208</v>
      </c>
      <c r="C23" s="7"/>
      <c r="D23" s="7">
        <v>6</v>
      </c>
      <c r="E23" s="7"/>
      <c r="F23" s="7"/>
      <c r="G23" s="7">
        <f t="shared" si="1"/>
        <v>6</v>
      </c>
    </row>
    <row r="24" spans="1:9" x14ac:dyDescent="0.35">
      <c r="A24" s="4"/>
      <c r="B24" s="144" t="s">
        <v>209</v>
      </c>
      <c r="C24" s="7"/>
      <c r="D24" s="7">
        <v>61</v>
      </c>
      <c r="E24" s="7"/>
      <c r="F24" s="7"/>
      <c r="G24" s="7">
        <f t="shared" si="1"/>
        <v>61</v>
      </c>
    </row>
    <row r="25" spans="1:9" x14ac:dyDescent="0.35">
      <c r="A25" s="4"/>
      <c r="B25" s="144" t="s">
        <v>16</v>
      </c>
      <c r="C25" s="19"/>
      <c r="D25" s="19"/>
      <c r="E25" s="19"/>
      <c r="F25" s="363">
        <v>6.4899999999999999E-2</v>
      </c>
      <c r="G25" s="19">
        <f t="shared" si="1"/>
        <v>6.4899999999999999E-2</v>
      </c>
    </row>
    <row r="26" spans="1:9" x14ac:dyDescent="0.35">
      <c r="A26" s="4"/>
      <c r="B26" s="144" t="s">
        <v>210</v>
      </c>
      <c r="C26" s="7"/>
      <c r="D26" s="7">
        <v>43</v>
      </c>
      <c r="E26" s="7"/>
      <c r="F26" s="7"/>
      <c r="G26" s="7">
        <f t="shared" si="1"/>
        <v>43</v>
      </c>
    </row>
    <row r="27" spans="1:9" x14ac:dyDescent="0.35">
      <c r="A27" s="4"/>
      <c r="B27" s="20"/>
      <c r="C27" s="7"/>
      <c r="D27" s="7"/>
      <c r="E27" s="7"/>
      <c r="F27" s="7"/>
      <c r="G27" s="7">
        <f t="shared" si="1"/>
        <v>0</v>
      </c>
    </row>
    <row r="28" spans="1:9" x14ac:dyDescent="0.35">
      <c r="A28" s="4"/>
      <c r="B28" s="17" t="s">
        <v>17</v>
      </c>
      <c r="C28" s="18"/>
      <c r="D28" s="18"/>
      <c r="E28" s="18"/>
      <c r="F28" s="18"/>
      <c r="G28" s="18"/>
    </row>
    <row r="29" spans="1:9" x14ac:dyDescent="0.35">
      <c r="A29" s="4"/>
      <c r="B29" s="21" t="s">
        <v>18</v>
      </c>
      <c r="C29" s="364">
        <v>35</v>
      </c>
      <c r="D29" s="365"/>
      <c r="E29" s="365"/>
      <c r="F29" s="23"/>
      <c r="G29" s="23">
        <f t="shared" ref="G29:G38" si="2">SUM(C29:F29)</f>
        <v>35</v>
      </c>
    </row>
    <row r="30" spans="1:9" x14ac:dyDescent="0.35">
      <c r="A30" s="25"/>
      <c r="B30" s="21" t="s">
        <v>19</v>
      </c>
      <c r="C30" s="364">
        <v>0</v>
      </c>
      <c r="D30" s="364"/>
      <c r="E30" s="364">
        <v>3</v>
      </c>
      <c r="F30" s="26"/>
      <c r="G30" s="23">
        <f t="shared" si="2"/>
        <v>3</v>
      </c>
    </row>
    <row r="31" spans="1:9" x14ac:dyDescent="0.35">
      <c r="A31" s="4"/>
      <c r="B31" s="21" t="s">
        <v>20</v>
      </c>
      <c r="C31" s="364">
        <v>2</v>
      </c>
      <c r="D31" s="365"/>
      <c r="E31" s="365"/>
      <c r="F31" s="23"/>
      <c r="G31" s="23">
        <f t="shared" si="2"/>
        <v>2</v>
      </c>
    </row>
    <row r="32" spans="1:9" x14ac:dyDescent="0.35">
      <c r="A32" s="4"/>
      <c r="B32" s="21" t="s">
        <v>21</v>
      </c>
      <c r="C32" s="364">
        <v>1</v>
      </c>
      <c r="D32" s="365"/>
      <c r="E32" s="365"/>
      <c r="F32" s="23"/>
      <c r="G32" s="23">
        <f t="shared" si="2"/>
        <v>1</v>
      </c>
    </row>
    <row r="33" spans="1:7" x14ac:dyDescent="0.35">
      <c r="A33" s="4"/>
      <c r="B33" s="21" t="s">
        <v>22</v>
      </c>
      <c r="C33" s="364">
        <v>1</v>
      </c>
      <c r="D33" s="365"/>
      <c r="E33" s="365"/>
      <c r="F33" s="23"/>
      <c r="G33" s="23">
        <f t="shared" si="2"/>
        <v>1</v>
      </c>
    </row>
    <row r="34" spans="1:7" x14ac:dyDescent="0.35">
      <c r="A34" s="4"/>
      <c r="B34" s="24" t="s">
        <v>23</v>
      </c>
      <c r="C34" s="366">
        <v>0</v>
      </c>
      <c r="D34" s="366"/>
      <c r="E34" s="366"/>
      <c r="F34" s="22"/>
      <c r="G34" s="23">
        <f t="shared" si="2"/>
        <v>0</v>
      </c>
    </row>
    <row r="35" spans="1:7" x14ac:dyDescent="0.35">
      <c r="A35" s="4"/>
      <c r="B35" s="27" t="s">
        <v>24</v>
      </c>
      <c r="C35" s="364">
        <v>0</v>
      </c>
      <c r="D35" s="365"/>
      <c r="E35" s="365"/>
      <c r="F35" s="23"/>
      <c r="G35" s="23">
        <f t="shared" si="2"/>
        <v>0</v>
      </c>
    </row>
    <row r="36" spans="1:7" x14ac:dyDescent="0.35">
      <c r="A36" s="4"/>
      <c r="B36" s="28" t="s">
        <v>25</v>
      </c>
      <c r="C36" s="366">
        <v>0</v>
      </c>
      <c r="D36" s="366"/>
      <c r="E36" s="366"/>
      <c r="F36" s="22"/>
      <c r="G36" s="23">
        <f t="shared" si="2"/>
        <v>0</v>
      </c>
    </row>
    <row r="37" spans="1:7" x14ac:dyDescent="0.35">
      <c r="A37" s="4"/>
      <c r="B37" s="27" t="s">
        <v>26</v>
      </c>
      <c r="C37" s="364">
        <v>1</v>
      </c>
      <c r="D37" s="365"/>
      <c r="E37" s="365"/>
      <c r="F37" s="23"/>
      <c r="G37" s="23">
        <f t="shared" si="2"/>
        <v>1</v>
      </c>
    </row>
    <row r="38" spans="1:7" x14ac:dyDescent="0.35">
      <c r="A38" s="4"/>
      <c r="B38" s="27" t="s">
        <v>27</v>
      </c>
      <c r="C38" s="364">
        <v>0.5</v>
      </c>
      <c r="D38" s="365"/>
      <c r="E38" s="365"/>
      <c r="F38" s="23"/>
      <c r="G38" s="23">
        <f t="shared" si="2"/>
        <v>0.5</v>
      </c>
    </row>
    <row r="39" spans="1:7" x14ac:dyDescent="0.35">
      <c r="A39" s="4"/>
      <c r="B39" s="29" t="s">
        <v>28</v>
      </c>
      <c r="C39" s="30">
        <f>SUM(C29:C38)</f>
        <v>40.5</v>
      </c>
      <c r="D39" s="30">
        <f t="shared" ref="D39" si="3">SUM(D29:D38)</f>
        <v>0</v>
      </c>
      <c r="E39" s="30">
        <f t="shared" ref="E39:F39" si="4">SUM(E29:E38)</f>
        <v>3</v>
      </c>
      <c r="F39" s="30">
        <f t="shared" si="4"/>
        <v>0</v>
      </c>
      <c r="G39" s="30">
        <f t="shared" ref="G39" si="5">SUM(G29:G38)</f>
        <v>43.5</v>
      </c>
    </row>
    <row r="40" spans="1:7" x14ac:dyDescent="0.35">
      <c r="A40" s="4"/>
      <c r="B40" s="31"/>
      <c r="C40" s="23"/>
      <c r="D40" s="23"/>
      <c r="E40" s="23"/>
      <c r="F40" s="23"/>
      <c r="G40" s="23"/>
    </row>
    <row r="41" spans="1:7" x14ac:dyDescent="0.35">
      <c r="A41" s="4"/>
      <c r="B41" s="17" t="s">
        <v>29</v>
      </c>
      <c r="C41" s="32"/>
      <c r="D41" s="32"/>
      <c r="E41" s="32"/>
      <c r="F41" s="32"/>
      <c r="G41" s="32"/>
    </row>
    <row r="42" spans="1:7" x14ac:dyDescent="0.35">
      <c r="A42" s="4"/>
      <c r="B42" s="21" t="s">
        <v>30</v>
      </c>
      <c r="C42" s="23">
        <v>1</v>
      </c>
      <c r="D42" s="23"/>
      <c r="E42" s="23"/>
      <c r="F42" s="23"/>
      <c r="G42" s="23">
        <f t="shared" ref="G42:G62" si="6">SUM(C42:F42)</f>
        <v>1</v>
      </c>
    </row>
    <row r="43" spans="1:7" x14ac:dyDescent="0.35">
      <c r="A43" s="4"/>
      <c r="B43" s="21" t="s">
        <v>31</v>
      </c>
      <c r="C43" s="23">
        <v>1</v>
      </c>
      <c r="D43" s="23"/>
      <c r="E43" s="23"/>
      <c r="F43" s="23"/>
      <c r="G43" s="23">
        <f t="shared" si="6"/>
        <v>1</v>
      </c>
    </row>
    <row r="44" spans="1:7" x14ac:dyDescent="0.35">
      <c r="A44" s="4"/>
      <c r="B44" s="34" t="s">
        <v>234</v>
      </c>
      <c r="C44" s="23">
        <v>1</v>
      </c>
      <c r="D44" s="23"/>
      <c r="E44" s="23"/>
      <c r="F44" s="23"/>
      <c r="G44" s="23">
        <f t="shared" si="6"/>
        <v>1</v>
      </c>
    </row>
    <row r="45" spans="1:7" x14ac:dyDescent="0.35">
      <c r="A45" s="4"/>
      <c r="B45" s="34" t="s">
        <v>252</v>
      </c>
      <c r="C45" s="23">
        <v>0</v>
      </c>
      <c r="D45" s="23"/>
      <c r="E45" s="23"/>
      <c r="F45" s="23"/>
      <c r="G45" s="23">
        <f t="shared" si="6"/>
        <v>0</v>
      </c>
    </row>
    <row r="46" spans="1:7" x14ac:dyDescent="0.35">
      <c r="A46" s="4"/>
      <c r="B46" s="33" t="s">
        <v>32</v>
      </c>
      <c r="C46" s="23">
        <v>0</v>
      </c>
      <c r="D46" s="23">
        <v>1</v>
      </c>
      <c r="E46" s="23"/>
      <c r="F46" s="23"/>
      <c r="G46" s="23">
        <f t="shared" si="6"/>
        <v>1</v>
      </c>
    </row>
    <row r="47" spans="1:7" x14ac:dyDescent="0.35">
      <c r="A47" s="4"/>
      <c r="B47" s="33" t="s">
        <v>33</v>
      </c>
      <c r="C47" s="23">
        <v>1</v>
      </c>
      <c r="D47" s="23"/>
      <c r="E47" s="23"/>
      <c r="F47" s="23"/>
      <c r="G47" s="23">
        <f t="shared" si="6"/>
        <v>1</v>
      </c>
    </row>
    <row r="48" spans="1:7" x14ac:dyDescent="0.35">
      <c r="A48" s="4"/>
      <c r="B48" s="21" t="s">
        <v>230</v>
      </c>
      <c r="C48" s="23">
        <v>2</v>
      </c>
      <c r="D48" s="23"/>
      <c r="E48" s="23"/>
      <c r="F48" s="23"/>
      <c r="G48" s="23">
        <f t="shared" si="6"/>
        <v>2</v>
      </c>
    </row>
    <row r="49" spans="1:7" x14ac:dyDescent="0.35">
      <c r="A49" s="4"/>
      <c r="B49" s="21" t="s">
        <v>34</v>
      </c>
      <c r="C49" s="23">
        <v>1</v>
      </c>
      <c r="D49" s="23"/>
      <c r="E49" s="23"/>
      <c r="F49" s="23"/>
      <c r="G49" s="23">
        <f t="shared" si="6"/>
        <v>1</v>
      </c>
    </row>
    <row r="50" spans="1:7" x14ac:dyDescent="0.35">
      <c r="A50" s="4"/>
      <c r="B50" s="21" t="s">
        <v>35</v>
      </c>
      <c r="C50" s="157">
        <v>1</v>
      </c>
      <c r="D50" s="157"/>
      <c r="E50" s="157"/>
      <c r="F50" s="157"/>
      <c r="G50" s="23">
        <f t="shared" si="6"/>
        <v>1</v>
      </c>
    </row>
    <row r="51" spans="1:7" x14ac:dyDescent="0.35">
      <c r="A51" s="4"/>
      <c r="B51" s="21" t="s">
        <v>36</v>
      </c>
      <c r="C51" s="157">
        <v>1</v>
      </c>
      <c r="D51" s="157"/>
      <c r="E51" s="157"/>
      <c r="F51" s="157"/>
      <c r="G51" s="23">
        <f t="shared" si="6"/>
        <v>1</v>
      </c>
    </row>
    <row r="52" spans="1:7" x14ac:dyDescent="0.35">
      <c r="A52" s="4"/>
      <c r="B52" s="21" t="s">
        <v>206</v>
      </c>
      <c r="C52" s="158">
        <v>0</v>
      </c>
      <c r="D52" s="158">
        <v>4</v>
      </c>
      <c r="E52" s="158">
        <v>3</v>
      </c>
      <c r="F52" s="158"/>
      <c r="G52" s="23">
        <f t="shared" si="6"/>
        <v>7</v>
      </c>
    </row>
    <row r="53" spans="1:7" x14ac:dyDescent="0.35">
      <c r="A53" s="4"/>
      <c r="B53" s="21" t="s">
        <v>37</v>
      </c>
      <c r="C53" s="158">
        <v>1</v>
      </c>
      <c r="D53" s="158"/>
      <c r="E53" s="158"/>
      <c r="F53" s="158"/>
      <c r="G53" s="23">
        <f t="shared" si="6"/>
        <v>1</v>
      </c>
    </row>
    <row r="54" spans="1:7" x14ac:dyDescent="0.35">
      <c r="A54" s="4"/>
      <c r="B54" s="21" t="s">
        <v>38</v>
      </c>
      <c r="C54" s="157"/>
      <c r="D54" s="157"/>
      <c r="E54" s="157"/>
      <c r="F54" s="157">
        <v>1</v>
      </c>
      <c r="G54" s="23">
        <f t="shared" si="6"/>
        <v>1</v>
      </c>
    </row>
    <row r="55" spans="1:7" x14ac:dyDescent="0.35">
      <c r="A55" s="4"/>
      <c r="B55" s="21" t="s">
        <v>223</v>
      </c>
      <c r="C55" s="157">
        <v>0</v>
      </c>
      <c r="D55" s="157">
        <v>0</v>
      </c>
      <c r="E55" s="157"/>
      <c r="F55" s="157"/>
      <c r="G55" s="23">
        <f t="shared" si="6"/>
        <v>0</v>
      </c>
    </row>
    <row r="56" spans="1:7" x14ac:dyDescent="0.35">
      <c r="A56" s="4"/>
      <c r="B56" s="34" t="s">
        <v>39</v>
      </c>
      <c r="C56" s="157">
        <v>0</v>
      </c>
      <c r="D56" s="157"/>
      <c r="E56" s="157"/>
      <c r="F56" s="157"/>
      <c r="G56" s="23">
        <f t="shared" si="6"/>
        <v>0</v>
      </c>
    </row>
    <row r="57" spans="1:7" x14ac:dyDescent="0.35">
      <c r="A57" s="4"/>
      <c r="B57" s="34" t="s">
        <v>40</v>
      </c>
      <c r="C57" s="157">
        <v>0</v>
      </c>
      <c r="D57" s="157">
        <v>0</v>
      </c>
      <c r="E57" s="157">
        <v>1</v>
      </c>
      <c r="F57" s="157"/>
      <c r="G57" s="23">
        <f t="shared" si="6"/>
        <v>1</v>
      </c>
    </row>
    <row r="58" spans="1:7" x14ac:dyDescent="0.35">
      <c r="A58" s="4"/>
      <c r="B58" s="34" t="s">
        <v>41</v>
      </c>
      <c r="C58" s="157">
        <v>0</v>
      </c>
      <c r="D58" s="157">
        <v>0</v>
      </c>
      <c r="E58" s="157"/>
      <c r="F58" s="157"/>
      <c r="G58" s="23">
        <f t="shared" si="6"/>
        <v>0</v>
      </c>
    </row>
    <row r="59" spans="1:7" x14ac:dyDescent="0.35">
      <c r="A59" s="4"/>
      <c r="B59" s="34" t="s">
        <v>42</v>
      </c>
      <c r="C59" s="157">
        <v>0</v>
      </c>
      <c r="D59" s="157">
        <v>0</v>
      </c>
      <c r="E59" s="157"/>
      <c r="F59" s="157"/>
      <c r="G59" s="23">
        <f t="shared" si="6"/>
        <v>0</v>
      </c>
    </row>
    <row r="60" spans="1:7" x14ac:dyDescent="0.35">
      <c r="A60" s="4"/>
      <c r="B60" s="34" t="s">
        <v>43</v>
      </c>
      <c r="C60" s="157">
        <v>0</v>
      </c>
      <c r="D60" s="157">
        <v>0</v>
      </c>
      <c r="E60" s="157"/>
      <c r="F60" s="157"/>
      <c r="G60" s="23">
        <f t="shared" si="6"/>
        <v>0</v>
      </c>
    </row>
    <row r="61" spans="1:7" x14ac:dyDescent="0.35">
      <c r="A61" s="4"/>
      <c r="B61" s="34" t="s">
        <v>44</v>
      </c>
      <c r="C61" s="157">
        <v>0</v>
      </c>
      <c r="D61" s="157">
        <v>1</v>
      </c>
      <c r="E61" s="157"/>
      <c r="F61" s="157"/>
      <c r="G61" s="23">
        <f t="shared" si="6"/>
        <v>1</v>
      </c>
    </row>
    <row r="62" spans="1:7" x14ac:dyDescent="0.35">
      <c r="A62" s="4"/>
      <c r="B62" s="35"/>
      <c r="C62" s="23">
        <v>0</v>
      </c>
      <c r="D62" s="23">
        <v>0</v>
      </c>
      <c r="E62" s="23"/>
      <c r="F62" s="23"/>
      <c r="G62" s="23">
        <f t="shared" si="6"/>
        <v>0</v>
      </c>
    </row>
    <row r="63" spans="1:7" x14ac:dyDescent="0.35">
      <c r="A63" s="4"/>
      <c r="B63" s="29" t="s">
        <v>45</v>
      </c>
      <c r="C63" s="30">
        <f>SUM(C42:C60)</f>
        <v>10</v>
      </c>
      <c r="D63" s="30">
        <f t="shared" ref="D63" si="7">SUM(D42:D60)</f>
        <v>5</v>
      </c>
      <c r="E63" s="30">
        <f t="shared" ref="E63:F63" si="8">SUM(E42:E60)</f>
        <v>4</v>
      </c>
      <c r="F63" s="30">
        <f t="shared" si="8"/>
        <v>1</v>
      </c>
      <c r="G63" s="30">
        <f>SUM(G42:G60)</f>
        <v>20</v>
      </c>
    </row>
    <row r="64" spans="1:7" ht="15" thickBot="1" x14ac:dyDescent="0.4">
      <c r="A64" s="4"/>
      <c r="B64" s="36"/>
      <c r="C64" s="38"/>
      <c r="D64" s="38"/>
      <c r="E64" s="38"/>
      <c r="F64" s="38"/>
      <c r="G64" s="38"/>
    </row>
    <row r="65" spans="1:7" x14ac:dyDescent="0.35">
      <c r="A65" s="2"/>
      <c r="B65" s="40" t="s">
        <v>46</v>
      </c>
      <c r="C65" s="39">
        <f>C39</f>
        <v>40.5</v>
      </c>
      <c r="D65" s="39">
        <f>D61</f>
        <v>1</v>
      </c>
      <c r="E65" s="39">
        <f>E39</f>
        <v>3</v>
      </c>
      <c r="F65" s="39">
        <f t="shared" ref="F65" si="9">F39</f>
        <v>0</v>
      </c>
      <c r="G65" s="39">
        <f>G39</f>
        <v>43.5</v>
      </c>
    </row>
    <row r="66" spans="1:7" ht="15" thickBot="1" x14ac:dyDescent="0.4">
      <c r="A66" s="2"/>
      <c r="B66" s="43" t="s">
        <v>47</v>
      </c>
      <c r="C66" s="42">
        <f>C63</f>
        <v>10</v>
      </c>
      <c r="D66" s="42">
        <f>D63</f>
        <v>5</v>
      </c>
      <c r="E66" s="42">
        <f>E63</f>
        <v>4</v>
      </c>
      <c r="F66" s="42">
        <f t="shared" ref="F66" si="10">F63</f>
        <v>1</v>
      </c>
      <c r="G66" s="42">
        <f t="shared" ref="G66" si="11">G63</f>
        <v>20</v>
      </c>
    </row>
    <row r="67" spans="1:7" ht="15" thickBot="1" x14ac:dyDescent="0.4">
      <c r="A67" s="2"/>
      <c r="B67" s="45" t="s">
        <v>48</v>
      </c>
      <c r="C67" s="44">
        <f>SUM(C65:C66)</f>
        <v>50.5</v>
      </c>
      <c r="D67" s="44">
        <f t="shared" ref="D67" si="12">SUM(D65:D66)</f>
        <v>6</v>
      </c>
      <c r="E67" s="44">
        <f>SUM(E65:E66)</f>
        <v>7</v>
      </c>
      <c r="F67" s="44">
        <f t="shared" ref="F67" si="13">SUM(F65:F66)</f>
        <v>1</v>
      </c>
      <c r="G67" s="44">
        <f t="shared" ref="G67" si="14">SUM(G65:G66)</f>
        <v>63.5</v>
      </c>
    </row>
    <row r="68" spans="1:7" ht="15" thickBot="1" x14ac:dyDescent="0.4">
      <c r="A68" s="4"/>
      <c r="B68" s="34"/>
      <c r="C68" s="46"/>
      <c r="D68" s="46"/>
      <c r="E68" s="46"/>
      <c r="F68" s="46"/>
      <c r="G68" s="46"/>
    </row>
    <row r="69" spans="1:7" x14ac:dyDescent="0.35">
      <c r="A69" s="4"/>
      <c r="B69" s="48" t="s">
        <v>49</v>
      </c>
      <c r="C69" s="47"/>
      <c r="D69" s="47"/>
      <c r="E69" s="47"/>
      <c r="F69" s="47"/>
      <c r="G69" s="47">
        <f t="shared" ref="G69" si="15">G138/(SUM(G205:G215))</f>
        <v>0.6024035961852805</v>
      </c>
    </row>
    <row r="70" spans="1:7" x14ac:dyDescent="0.35">
      <c r="A70" s="4"/>
      <c r="B70" s="50" t="s">
        <v>50</v>
      </c>
      <c r="C70" s="49"/>
      <c r="D70" s="49"/>
      <c r="E70" s="49"/>
      <c r="F70" s="49"/>
      <c r="G70" s="49">
        <f t="shared" ref="G70" si="16">(G109+G110+G111+G114)/G130</f>
        <v>0.74581520409716584</v>
      </c>
    </row>
    <row r="71" spans="1:7" x14ac:dyDescent="0.35">
      <c r="A71" s="4"/>
      <c r="B71" s="52" t="s">
        <v>51</v>
      </c>
      <c r="C71" s="49"/>
      <c r="D71" s="49"/>
      <c r="E71" s="49"/>
      <c r="F71" s="49"/>
      <c r="G71" s="49">
        <f t="shared" ref="G71" si="17">(G104+G105+G107+G108+G112+G113+G115+G116+G119+G120+G121+G122+G123+G106+G124+G125+G126+G127+G128)/G130</f>
        <v>0.2541847959028341</v>
      </c>
    </row>
    <row r="72" spans="1:7" ht="15" thickBot="1" x14ac:dyDescent="0.4">
      <c r="A72" s="4"/>
      <c r="B72" s="54" t="s">
        <v>52</v>
      </c>
      <c r="C72" s="53"/>
      <c r="D72" s="53"/>
      <c r="E72" s="53"/>
      <c r="F72" s="53"/>
      <c r="G72" s="53">
        <f t="shared" ref="G72" si="18">SUM(G207:G215)/G87</f>
        <v>0.13567257628392562</v>
      </c>
    </row>
    <row r="73" spans="1:7" x14ac:dyDescent="0.35">
      <c r="A73" s="51"/>
      <c r="B73" s="55"/>
      <c r="C73" s="56"/>
      <c r="D73" s="56"/>
      <c r="E73" s="56"/>
      <c r="F73" s="56"/>
      <c r="G73" s="56"/>
    </row>
    <row r="74" spans="1:7" x14ac:dyDescent="0.35">
      <c r="A74" s="57"/>
      <c r="B74" s="58" t="s">
        <v>334</v>
      </c>
      <c r="C74" s="59" t="str">
        <f>C1</f>
        <v>Operating</v>
      </c>
      <c r="D74" s="59" t="str">
        <f t="shared" ref="D74" si="19">D1</f>
        <v>Weights</v>
      </c>
      <c r="E74" s="59" t="s">
        <v>15</v>
      </c>
      <c r="F74" s="59" t="str">
        <f t="shared" ref="F74" si="20">F1</f>
        <v>NSLP</v>
      </c>
      <c r="G74" s="59" t="s">
        <v>231</v>
      </c>
    </row>
    <row r="75" spans="1:7" x14ac:dyDescent="0.35">
      <c r="A75" s="60">
        <v>3110</v>
      </c>
      <c r="B75" s="61" t="s">
        <v>211</v>
      </c>
      <c r="C75" s="7">
        <f>(C2*C5)</f>
        <v>6826410</v>
      </c>
      <c r="D75" s="7">
        <f t="shared" ref="D75" si="21">(D2*D5)*0.95</f>
        <v>0</v>
      </c>
      <c r="E75" s="7"/>
      <c r="F75" s="7"/>
      <c r="G75" s="7">
        <f t="shared" ref="G75:G86" si="22">SUM(C75:F75)</f>
        <v>6826410</v>
      </c>
    </row>
    <row r="76" spans="1:7" x14ac:dyDescent="0.35">
      <c r="A76" s="60"/>
      <c r="B76" s="63" t="s">
        <v>229</v>
      </c>
      <c r="C76" s="7">
        <f>(C3*C5)*0.95</f>
        <v>0</v>
      </c>
      <c r="D76" s="7">
        <f t="shared" ref="D76" si="23">(D3*D5)*0.95</f>
        <v>0</v>
      </c>
      <c r="E76" s="15">
        <v>74124</v>
      </c>
      <c r="F76" s="7"/>
      <c r="G76" s="7">
        <f t="shared" si="22"/>
        <v>74124</v>
      </c>
    </row>
    <row r="77" spans="1:7" x14ac:dyDescent="0.35">
      <c r="A77" s="60">
        <v>4500</v>
      </c>
      <c r="B77" s="63" t="s">
        <v>53</v>
      </c>
      <c r="C77" s="7">
        <f>($C$19*C25)*3.15*180</f>
        <v>0</v>
      </c>
      <c r="D77" s="7">
        <f t="shared" ref="D77" si="24">($C$19*D25)*3.15*180</f>
        <v>0</v>
      </c>
      <c r="E77" s="7"/>
      <c r="F77" s="7">
        <f>($C$19*F25)*3.5*180</f>
        <v>39455.955000000002</v>
      </c>
      <c r="G77" s="7">
        <f t="shared" si="22"/>
        <v>39455.955000000002</v>
      </c>
    </row>
    <row r="78" spans="1:7" x14ac:dyDescent="0.35">
      <c r="A78" s="60">
        <v>4500</v>
      </c>
      <c r="B78" s="63" t="s">
        <v>54</v>
      </c>
      <c r="C78" s="7">
        <f>950*C22</f>
        <v>0</v>
      </c>
      <c r="D78" s="7">
        <f t="shared" ref="D78" si="25">950*D22</f>
        <v>0</v>
      </c>
      <c r="E78" s="7">
        <f>950*E22</f>
        <v>95000</v>
      </c>
      <c r="F78" s="7"/>
      <c r="G78" s="7">
        <f t="shared" si="22"/>
        <v>95000</v>
      </c>
    </row>
    <row r="79" spans="1:7" x14ac:dyDescent="0.35">
      <c r="A79" s="147">
        <v>3115</v>
      </c>
      <c r="B79" s="145" t="s">
        <v>212</v>
      </c>
      <c r="C79" s="37">
        <f>3200*C22</f>
        <v>0</v>
      </c>
      <c r="D79" s="37">
        <f t="shared" ref="D79" si="26">3200*D22</f>
        <v>0</v>
      </c>
      <c r="E79" s="37">
        <f>2755*E22</f>
        <v>275500</v>
      </c>
      <c r="F79" s="37"/>
      <c r="G79" s="7">
        <f t="shared" si="22"/>
        <v>275500</v>
      </c>
    </row>
    <row r="80" spans="1:7" x14ac:dyDescent="0.35">
      <c r="A80" s="64"/>
      <c r="B80" s="63" t="s">
        <v>213</v>
      </c>
      <c r="C80" s="37">
        <f>1400*C23</f>
        <v>0</v>
      </c>
      <c r="D80" s="37">
        <f>1635*D23</f>
        <v>9810</v>
      </c>
      <c r="E80" s="37"/>
      <c r="F80" s="37"/>
      <c r="G80" s="7">
        <f t="shared" si="22"/>
        <v>9810</v>
      </c>
    </row>
    <row r="81" spans="1:7" x14ac:dyDescent="0.35">
      <c r="A81" s="60">
        <v>3200</v>
      </c>
      <c r="B81" s="63" t="s">
        <v>214</v>
      </c>
      <c r="C81" s="7">
        <f>830*C24</f>
        <v>0</v>
      </c>
      <c r="D81" s="7">
        <f>848*D24</f>
        <v>51728</v>
      </c>
      <c r="E81" s="7"/>
      <c r="F81" s="7"/>
      <c r="G81" s="7">
        <f t="shared" si="22"/>
        <v>51728</v>
      </c>
    </row>
    <row r="82" spans="1:7" x14ac:dyDescent="0.35">
      <c r="A82" s="60"/>
      <c r="B82" s="63" t="s">
        <v>215</v>
      </c>
      <c r="C82" s="7">
        <f>240*C26</f>
        <v>0</v>
      </c>
      <c r="D82" s="7">
        <f>241*D26</f>
        <v>10363</v>
      </c>
      <c r="E82" s="7"/>
      <c r="F82" s="7"/>
      <c r="G82" s="7">
        <f t="shared" si="22"/>
        <v>10363</v>
      </c>
    </row>
    <row r="83" spans="1:7" x14ac:dyDescent="0.35">
      <c r="A83" s="65"/>
      <c r="B83" s="63" t="s">
        <v>216</v>
      </c>
      <c r="C83" s="7"/>
      <c r="D83" s="7"/>
      <c r="E83" s="7"/>
      <c r="F83" s="7"/>
      <c r="G83" s="7">
        <f t="shared" si="22"/>
        <v>0</v>
      </c>
    </row>
    <row r="84" spans="1:7" x14ac:dyDescent="0.35">
      <c r="A84" s="60">
        <v>1510</v>
      </c>
      <c r="B84" s="63" t="s">
        <v>220</v>
      </c>
      <c r="C84" s="7"/>
      <c r="D84" s="7"/>
      <c r="E84" s="7"/>
      <c r="F84" s="7"/>
      <c r="G84" s="7">
        <f t="shared" si="22"/>
        <v>0</v>
      </c>
    </row>
    <row r="85" spans="1:7" x14ac:dyDescent="0.35">
      <c r="A85" s="60"/>
      <c r="B85" s="63" t="s">
        <v>216</v>
      </c>
      <c r="C85" s="7"/>
      <c r="D85" s="7"/>
      <c r="E85" s="7"/>
      <c r="F85" s="7"/>
      <c r="G85" s="7">
        <f t="shared" si="22"/>
        <v>0</v>
      </c>
    </row>
    <row r="86" spans="1:7" ht="15" thickBot="1" x14ac:dyDescent="0.4">
      <c r="A86" s="64"/>
      <c r="B86" s="66" t="s">
        <v>56</v>
      </c>
      <c r="C86" s="37"/>
      <c r="D86" s="37"/>
      <c r="E86" s="37"/>
      <c r="F86" s="37"/>
      <c r="G86" s="7">
        <f t="shared" si="22"/>
        <v>0</v>
      </c>
    </row>
    <row r="87" spans="1:7" ht="15" thickBot="1" x14ac:dyDescent="0.4">
      <c r="A87" s="67"/>
      <c r="B87" s="68" t="s">
        <v>57</v>
      </c>
      <c r="C87" s="69">
        <f>SUM(C75:C86)</f>
        <v>6826410</v>
      </c>
      <c r="D87" s="69">
        <f t="shared" ref="D87" si="27">SUM(D75:D86)</f>
        <v>71901</v>
      </c>
      <c r="E87" s="69">
        <f>SUM(E75:E86)</f>
        <v>444624</v>
      </c>
      <c r="F87" s="69">
        <f t="shared" ref="F87" si="28">SUM(F75:F86)</f>
        <v>39455.955000000002</v>
      </c>
      <c r="G87" s="69">
        <f t="shared" ref="G87" si="29">SUM(G75:G86)</f>
        <v>7382390.9550000001</v>
      </c>
    </row>
    <row r="88" spans="1:7" x14ac:dyDescent="0.35">
      <c r="A88" s="60">
        <f>A75</f>
        <v>3110</v>
      </c>
      <c r="B88" s="61" t="s">
        <v>211</v>
      </c>
      <c r="C88" s="62">
        <f>C2*C5</f>
        <v>6826410</v>
      </c>
      <c r="D88" s="62">
        <f t="shared" ref="D88" si="30">D2*D5</f>
        <v>0</v>
      </c>
      <c r="E88" s="62">
        <f>E2*E5</f>
        <v>0</v>
      </c>
      <c r="F88" s="62">
        <f t="shared" ref="F88" si="31">F2*F5</f>
        <v>0</v>
      </c>
      <c r="G88" s="62">
        <f t="shared" ref="G88" si="32">G2*G5</f>
        <v>6826410</v>
      </c>
    </row>
    <row r="89" spans="1:7" x14ac:dyDescent="0.35">
      <c r="A89" s="60"/>
      <c r="B89" s="63" t="str">
        <f>B76</f>
        <v>Local SPED</v>
      </c>
      <c r="C89" s="62">
        <f>C3*C5</f>
        <v>0</v>
      </c>
      <c r="D89" s="62">
        <f t="shared" ref="D89" si="33">D3*D5</f>
        <v>0</v>
      </c>
      <c r="E89" s="62">
        <f>E76</f>
        <v>74124</v>
      </c>
      <c r="F89" s="62">
        <f t="shared" ref="F89" si="34">F3*F5</f>
        <v>0</v>
      </c>
      <c r="G89" s="62">
        <f>SUM(E89)</f>
        <v>74124</v>
      </c>
    </row>
    <row r="90" spans="1:7" x14ac:dyDescent="0.35">
      <c r="A90" s="60">
        <f t="shared" ref="A90:A92" si="35">A77</f>
        <v>4500</v>
      </c>
      <c r="B90" s="63" t="s">
        <v>53</v>
      </c>
      <c r="C90" s="62">
        <f t="shared" ref="C90:G99" si="36">C77</f>
        <v>0</v>
      </c>
      <c r="D90" s="62">
        <f t="shared" ref="D90" si="37">D77</f>
        <v>0</v>
      </c>
      <c r="E90" s="62">
        <f t="shared" ref="E90" si="38">E77</f>
        <v>0</v>
      </c>
      <c r="F90" s="62">
        <f t="shared" ref="F90" si="39">F77</f>
        <v>39455.955000000002</v>
      </c>
      <c r="G90" s="62">
        <f t="shared" si="36"/>
        <v>39455.955000000002</v>
      </c>
    </row>
    <row r="91" spans="1:7" x14ac:dyDescent="0.35">
      <c r="A91" s="60">
        <f t="shared" si="35"/>
        <v>4500</v>
      </c>
      <c r="B91" s="63" t="s">
        <v>54</v>
      </c>
      <c r="C91" s="62">
        <f t="shared" si="36"/>
        <v>0</v>
      </c>
      <c r="D91" s="62">
        <f t="shared" ref="D91" si="40">D78</f>
        <v>0</v>
      </c>
      <c r="E91" s="62">
        <f t="shared" ref="E91" si="41">E78</f>
        <v>95000</v>
      </c>
      <c r="F91" s="62">
        <f t="shared" ref="F91" si="42">F78</f>
        <v>0</v>
      </c>
      <c r="G91" s="62">
        <f t="shared" si="36"/>
        <v>95000</v>
      </c>
    </row>
    <row r="92" spans="1:7" x14ac:dyDescent="0.35">
      <c r="A92" s="60">
        <f t="shared" si="35"/>
        <v>3115</v>
      </c>
      <c r="B92" s="145" t="s">
        <v>212</v>
      </c>
      <c r="C92" s="62">
        <f t="shared" si="36"/>
        <v>0</v>
      </c>
      <c r="D92" s="62">
        <f t="shared" ref="D92" si="43">D79</f>
        <v>0</v>
      </c>
      <c r="E92" s="62">
        <f t="shared" ref="E92" si="44">E79</f>
        <v>275500</v>
      </c>
      <c r="F92" s="62">
        <f t="shared" ref="F92" si="45">F79</f>
        <v>0</v>
      </c>
      <c r="G92" s="62">
        <f t="shared" si="36"/>
        <v>275500</v>
      </c>
    </row>
    <row r="93" spans="1:7" x14ac:dyDescent="0.35">
      <c r="A93" s="60"/>
      <c r="B93" s="63" t="s">
        <v>213</v>
      </c>
      <c r="C93" s="62">
        <f t="shared" si="36"/>
        <v>0</v>
      </c>
      <c r="D93" s="62">
        <f t="shared" ref="D93" si="46">D80</f>
        <v>9810</v>
      </c>
      <c r="E93" s="62">
        <f t="shared" ref="E93" si="47">E80</f>
        <v>0</v>
      </c>
      <c r="F93" s="62">
        <f t="shared" ref="F93" si="48">F80</f>
        <v>0</v>
      </c>
      <c r="G93" s="62">
        <f t="shared" si="36"/>
        <v>9810</v>
      </c>
    </row>
    <row r="94" spans="1:7" x14ac:dyDescent="0.35">
      <c r="A94" s="60">
        <f t="shared" ref="A94" si="49">A81</f>
        <v>3200</v>
      </c>
      <c r="B94" s="63" t="s">
        <v>214</v>
      </c>
      <c r="C94" s="62">
        <f t="shared" si="36"/>
        <v>0</v>
      </c>
      <c r="D94" s="62">
        <f t="shared" ref="D94" si="50">D81</f>
        <v>51728</v>
      </c>
      <c r="E94" s="62">
        <f t="shared" ref="E94" si="51">E81</f>
        <v>0</v>
      </c>
      <c r="F94" s="62">
        <f t="shared" ref="F94" si="52">F81</f>
        <v>0</v>
      </c>
      <c r="G94" s="62">
        <f t="shared" si="36"/>
        <v>51728</v>
      </c>
    </row>
    <row r="95" spans="1:7" x14ac:dyDescent="0.35">
      <c r="A95" s="60"/>
      <c r="B95" s="63" t="s">
        <v>215</v>
      </c>
      <c r="C95" s="62">
        <f t="shared" si="36"/>
        <v>0</v>
      </c>
      <c r="D95" s="62">
        <f t="shared" ref="D95" si="53">D82</f>
        <v>10363</v>
      </c>
      <c r="E95" s="62">
        <f t="shared" ref="E95" si="54">E82</f>
        <v>0</v>
      </c>
      <c r="F95" s="62">
        <f t="shared" ref="F95" si="55">F82</f>
        <v>0</v>
      </c>
      <c r="G95" s="62">
        <f t="shared" si="36"/>
        <v>10363</v>
      </c>
    </row>
    <row r="96" spans="1:7" x14ac:dyDescent="0.35">
      <c r="A96" s="65"/>
      <c r="B96" s="63" t="s">
        <v>227</v>
      </c>
      <c r="C96" s="62">
        <f t="shared" si="36"/>
        <v>0</v>
      </c>
      <c r="D96" s="62">
        <f t="shared" ref="D96" si="56">D83</f>
        <v>0</v>
      </c>
      <c r="E96" s="62">
        <f t="shared" ref="E96" si="57">E83</f>
        <v>0</v>
      </c>
      <c r="F96" s="62">
        <f t="shared" ref="F96" si="58">F83</f>
        <v>0</v>
      </c>
      <c r="G96" s="62">
        <f t="shared" si="36"/>
        <v>0</v>
      </c>
    </row>
    <row r="97" spans="1:7" x14ac:dyDescent="0.35">
      <c r="A97" s="60">
        <f t="shared" ref="A97" si="59">A84</f>
        <v>1510</v>
      </c>
      <c r="B97" s="63" t="s">
        <v>220</v>
      </c>
      <c r="C97" s="62">
        <f t="shared" si="36"/>
        <v>0</v>
      </c>
      <c r="D97" s="62">
        <f t="shared" ref="D97" si="60">D84</f>
        <v>0</v>
      </c>
      <c r="E97" s="62">
        <f t="shared" ref="E97" si="61">E84</f>
        <v>0</v>
      </c>
      <c r="F97" s="62">
        <f t="shared" ref="F97" si="62">F84</f>
        <v>0</v>
      </c>
      <c r="G97" s="62">
        <f t="shared" si="36"/>
        <v>0</v>
      </c>
    </row>
    <row r="98" spans="1:7" x14ac:dyDescent="0.35">
      <c r="A98" s="60"/>
      <c r="B98" s="63" t="s">
        <v>216</v>
      </c>
      <c r="C98" s="62">
        <f t="shared" si="36"/>
        <v>0</v>
      </c>
      <c r="D98" s="62">
        <f t="shared" ref="D98" si="63">D85</f>
        <v>0</v>
      </c>
      <c r="E98" s="62">
        <f t="shared" ref="E98" si="64">E85</f>
        <v>0</v>
      </c>
      <c r="F98" s="62">
        <f t="shared" ref="F98" si="65">F85</f>
        <v>0</v>
      </c>
      <c r="G98" s="62">
        <f t="shared" si="36"/>
        <v>0</v>
      </c>
    </row>
    <row r="99" spans="1:7" ht="15" thickBot="1" x14ac:dyDescent="0.4">
      <c r="A99" s="60"/>
      <c r="B99" s="66" t="s">
        <v>56</v>
      </c>
      <c r="C99" s="62">
        <f t="shared" si="36"/>
        <v>0</v>
      </c>
      <c r="D99" s="62">
        <f t="shared" ref="D99" si="66">D86</f>
        <v>0</v>
      </c>
      <c r="E99" s="62">
        <f t="shared" ref="E99" si="67">E86</f>
        <v>0</v>
      </c>
      <c r="F99" s="62">
        <f t="shared" ref="F99" si="68">F86</f>
        <v>0</v>
      </c>
      <c r="G99" s="62">
        <f t="shared" si="36"/>
        <v>0</v>
      </c>
    </row>
    <row r="100" spans="1:7" ht="15" thickBot="1" x14ac:dyDescent="0.4">
      <c r="A100" s="67"/>
      <c r="B100" s="68" t="s">
        <v>58</v>
      </c>
      <c r="C100" s="69">
        <f>SUM(C88:C99)</f>
        <v>6826410</v>
      </c>
      <c r="D100" s="69">
        <f t="shared" ref="D100:E100" si="69">SUM(D88:D99)</f>
        <v>71901</v>
      </c>
      <c r="E100" s="69">
        <f t="shared" si="69"/>
        <v>444624</v>
      </c>
      <c r="F100" s="69">
        <f t="shared" ref="F100" si="70">SUM(F88:F99)</f>
        <v>39455.955000000002</v>
      </c>
      <c r="G100" s="69">
        <f>SUM(G88:G99)</f>
        <v>7382390.9550000001</v>
      </c>
    </row>
    <row r="101" spans="1:7" x14ac:dyDescent="0.35">
      <c r="A101" s="51"/>
      <c r="B101" s="71"/>
      <c r="C101" s="56"/>
      <c r="D101" s="56"/>
      <c r="E101" s="56"/>
      <c r="F101" s="56"/>
      <c r="G101" s="56"/>
    </row>
    <row r="102" spans="1:7" ht="15" thickBot="1" x14ac:dyDescent="0.4">
      <c r="A102" s="72"/>
      <c r="B102" s="73" t="s">
        <v>59</v>
      </c>
      <c r="C102" s="74" t="str">
        <f>C1</f>
        <v>Operating</v>
      </c>
      <c r="D102" s="74" t="str">
        <f t="shared" ref="D102" si="71">D1</f>
        <v>Weights</v>
      </c>
      <c r="E102" s="74" t="str">
        <f>E1</f>
        <v>SPED</v>
      </c>
      <c r="F102" s="74" t="str">
        <f t="shared" ref="F102:G102" si="72">F1</f>
        <v>NSLP</v>
      </c>
      <c r="G102" s="74" t="str">
        <f t="shared" si="72"/>
        <v>Totals</v>
      </c>
    </row>
    <row r="103" spans="1:7" x14ac:dyDescent="0.35">
      <c r="A103" s="78"/>
      <c r="B103" s="76" t="s">
        <v>60</v>
      </c>
      <c r="C103" s="77"/>
      <c r="D103" s="77"/>
      <c r="E103" s="77"/>
      <c r="F103" s="77"/>
      <c r="G103" s="77"/>
    </row>
    <row r="104" spans="1:7" x14ac:dyDescent="0.35">
      <c r="A104" s="60">
        <v>104</v>
      </c>
      <c r="B104" s="63" t="s">
        <v>30</v>
      </c>
      <c r="C104" s="15">
        <f>112000*1.02</f>
        <v>114240</v>
      </c>
      <c r="D104" s="7"/>
      <c r="E104" s="7"/>
      <c r="F104" s="7"/>
      <c r="G104" s="7">
        <f t="shared" ref="G104:G116" si="73">SUM(C104:F104)</f>
        <v>114240</v>
      </c>
    </row>
    <row r="105" spans="1:7" x14ac:dyDescent="0.35">
      <c r="A105" s="60">
        <v>104</v>
      </c>
      <c r="B105" s="63" t="s">
        <v>61</v>
      </c>
      <c r="C105" s="15">
        <f>83000*1.02</f>
        <v>84660</v>
      </c>
      <c r="D105" s="7"/>
      <c r="E105" s="7"/>
      <c r="F105" s="7"/>
      <c r="G105" s="7">
        <f t="shared" si="73"/>
        <v>84660</v>
      </c>
    </row>
    <row r="106" spans="1:7" x14ac:dyDescent="0.35">
      <c r="A106" s="60">
        <v>105</v>
      </c>
      <c r="B106" s="63" t="s">
        <v>33</v>
      </c>
      <c r="C106" s="7">
        <f>59000*1.02</f>
        <v>60180</v>
      </c>
      <c r="D106" s="7"/>
      <c r="E106" s="7"/>
      <c r="F106" s="7"/>
      <c r="G106" s="7">
        <f t="shared" si="73"/>
        <v>60180</v>
      </c>
    </row>
    <row r="107" spans="1:7" x14ac:dyDescent="0.35">
      <c r="A107" s="60">
        <v>105</v>
      </c>
      <c r="B107" s="63" t="s">
        <v>235</v>
      </c>
      <c r="C107" s="7">
        <f>64000*1.02</f>
        <v>65280</v>
      </c>
      <c r="D107" s="7"/>
      <c r="E107" s="7"/>
      <c r="F107" s="7"/>
      <c r="G107" s="7">
        <f t="shared" si="73"/>
        <v>65280</v>
      </c>
    </row>
    <row r="108" spans="1:7" x14ac:dyDescent="0.35">
      <c r="A108" s="60" t="s">
        <v>62</v>
      </c>
      <c r="B108" s="63" t="s">
        <v>63</v>
      </c>
      <c r="C108" s="7"/>
      <c r="D108" s="7">
        <f>67000*1.02</f>
        <v>68340</v>
      </c>
      <c r="E108" s="7"/>
      <c r="F108" s="7"/>
      <c r="G108" s="7">
        <f t="shared" si="73"/>
        <v>68340</v>
      </c>
    </row>
    <row r="109" spans="1:7" x14ac:dyDescent="0.35">
      <c r="A109" s="60" t="s">
        <v>65</v>
      </c>
      <c r="B109" s="63" t="s">
        <v>64</v>
      </c>
      <c r="C109" s="7">
        <f>45500*C39</f>
        <v>1842750</v>
      </c>
      <c r="D109" s="7"/>
      <c r="E109" s="7"/>
      <c r="F109" s="7"/>
      <c r="G109" s="7">
        <f t="shared" si="73"/>
        <v>1842750</v>
      </c>
    </row>
    <row r="110" spans="1:7" hidden="1" x14ac:dyDescent="0.35">
      <c r="A110" s="4">
        <v>101</v>
      </c>
      <c r="B110" s="63" t="s">
        <v>66</v>
      </c>
      <c r="C110" s="14">
        <v>0</v>
      </c>
      <c r="D110" s="14"/>
      <c r="E110" s="14"/>
      <c r="F110" s="14"/>
      <c r="G110" s="7">
        <f t="shared" si="73"/>
        <v>0</v>
      </c>
    </row>
    <row r="111" spans="1:7" x14ac:dyDescent="0.35">
      <c r="A111" s="60">
        <v>101</v>
      </c>
      <c r="B111" s="63" t="s">
        <v>19</v>
      </c>
      <c r="C111" s="7">
        <f>43000*C30</f>
        <v>0</v>
      </c>
      <c r="D111" s="7"/>
      <c r="E111" s="7">
        <f>45500*E30</f>
        <v>136500</v>
      </c>
      <c r="F111" s="7"/>
      <c r="G111" s="7">
        <f t="shared" si="73"/>
        <v>136500</v>
      </c>
    </row>
    <row r="112" spans="1:7" x14ac:dyDescent="0.35">
      <c r="A112" s="60">
        <v>107</v>
      </c>
      <c r="B112" s="63" t="s">
        <v>67</v>
      </c>
      <c r="C112" s="7">
        <f>((47840+37440)*1.015*1.02)+(13*8*180)</f>
        <v>107010.38400000001</v>
      </c>
      <c r="D112" s="7"/>
      <c r="E112" s="7"/>
      <c r="F112" s="7"/>
      <c r="G112" s="7">
        <f t="shared" si="73"/>
        <v>107010.38400000001</v>
      </c>
    </row>
    <row r="113" spans="1:7" x14ac:dyDescent="0.35">
      <c r="A113" s="60">
        <v>107</v>
      </c>
      <c r="B113" s="63" t="s">
        <v>68</v>
      </c>
      <c r="C113" s="7">
        <f>(14*8*190)*(C50+C51)</f>
        <v>42560</v>
      </c>
      <c r="D113" s="7"/>
      <c r="E113" s="7"/>
      <c r="F113" s="7"/>
      <c r="G113" s="7">
        <f t="shared" si="73"/>
        <v>42560</v>
      </c>
    </row>
    <row r="114" spans="1:7" x14ac:dyDescent="0.35">
      <c r="A114" s="60">
        <v>102</v>
      </c>
      <c r="B114" s="63" t="s">
        <v>69</v>
      </c>
      <c r="C114" s="7">
        <f>(12.75*8*180)*C52</f>
        <v>0</v>
      </c>
      <c r="D114" s="7">
        <f>(13*8*180)*D52</f>
        <v>74880</v>
      </c>
      <c r="E114" s="7">
        <f>(13*8*180)*E52</f>
        <v>56160</v>
      </c>
      <c r="F114" s="7"/>
      <c r="G114" s="7">
        <f t="shared" si="73"/>
        <v>131040</v>
      </c>
    </row>
    <row r="115" spans="1:7" x14ac:dyDescent="0.35">
      <c r="A115" s="60">
        <v>107</v>
      </c>
      <c r="B115" s="63" t="s">
        <v>70</v>
      </c>
      <c r="C115" s="15">
        <f>(25.25*8*240)</f>
        <v>48480</v>
      </c>
      <c r="D115" s="7"/>
      <c r="E115" s="7"/>
      <c r="F115" s="7"/>
      <c r="G115" s="7">
        <f t="shared" si="73"/>
        <v>48480</v>
      </c>
    </row>
    <row r="116" spans="1:7" x14ac:dyDescent="0.35">
      <c r="A116" s="60">
        <v>107</v>
      </c>
      <c r="B116" s="63" t="s">
        <v>223</v>
      </c>
      <c r="C116" s="7">
        <f>(12.75*8*180)*C55</f>
        <v>0</v>
      </c>
      <c r="D116" s="7">
        <f>(12.75*8*180)*D55</f>
        <v>0</v>
      </c>
      <c r="E116" s="7"/>
      <c r="F116" s="7"/>
      <c r="G116" s="7">
        <f t="shared" si="73"/>
        <v>0</v>
      </c>
    </row>
    <row r="117" spans="1:7" ht="15" thickBot="1" x14ac:dyDescent="0.4">
      <c r="A117" s="72"/>
      <c r="B117" s="82" t="s">
        <v>71</v>
      </c>
      <c r="C117" s="83">
        <f>SUM(C104:C116)</f>
        <v>2365160.3840000001</v>
      </c>
      <c r="D117" s="83">
        <f t="shared" ref="D117" si="74">SUM(D104:D116)</f>
        <v>143220</v>
      </c>
      <c r="E117" s="83">
        <f t="shared" ref="E117:F117" si="75">SUM(E104:E116)</f>
        <v>192660</v>
      </c>
      <c r="F117" s="83">
        <f t="shared" si="75"/>
        <v>0</v>
      </c>
      <c r="G117" s="83">
        <f t="shared" ref="G117" si="76">SUM(G104:G116)</f>
        <v>2701040.3840000001</v>
      </c>
    </row>
    <row r="118" spans="1:7" x14ac:dyDescent="0.35">
      <c r="A118" s="75"/>
      <c r="B118" s="84" t="s">
        <v>72</v>
      </c>
      <c r="C118" s="154" t="str">
        <f>C1</f>
        <v>Operating</v>
      </c>
      <c r="D118" s="154" t="str">
        <f t="shared" ref="D118" si="77">D1</f>
        <v>Weights</v>
      </c>
      <c r="E118" s="154" t="str">
        <f>E1</f>
        <v>SPED</v>
      </c>
      <c r="F118" s="154" t="str">
        <f t="shared" ref="F118:G118" si="78">F1</f>
        <v>NSLP</v>
      </c>
      <c r="G118" s="154" t="str">
        <f t="shared" si="78"/>
        <v>Totals</v>
      </c>
    </row>
    <row r="119" spans="1:7" x14ac:dyDescent="0.35">
      <c r="A119" s="5"/>
      <c r="B119" s="63" t="s">
        <v>73</v>
      </c>
      <c r="C119" s="7"/>
      <c r="D119" s="7"/>
      <c r="E119" s="7"/>
      <c r="F119" s="7"/>
      <c r="G119" s="7">
        <f t="shared" ref="G119:G128" si="79">SUM(C119:F119)</f>
        <v>0</v>
      </c>
    </row>
    <row r="120" spans="1:7" x14ac:dyDescent="0.35">
      <c r="A120" s="85"/>
      <c r="B120" s="63" t="s">
        <v>39</v>
      </c>
      <c r="C120" s="7"/>
      <c r="D120" s="7"/>
      <c r="E120" s="7"/>
      <c r="F120" s="7"/>
      <c r="G120" s="7">
        <f t="shared" si="79"/>
        <v>0</v>
      </c>
    </row>
    <row r="121" spans="1:7" x14ac:dyDescent="0.35">
      <c r="A121" s="60"/>
      <c r="B121" s="63" t="s">
        <v>40</v>
      </c>
      <c r="C121" s="7"/>
      <c r="D121" s="7"/>
      <c r="E121" s="7">
        <f>48500*1.02</f>
        <v>49470</v>
      </c>
      <c r="F121" s="7"/>
      <c r="G121" s="7">
        <f t="shared" si="79"/>
        <v>49470</v>
      </c>
    </row>
    <row r="122" spans="1:7" x14ac:dyDescent="0.35">
      <c r="A122" s="60"/>
      <c r="B122" s="63" t="s">
        <v>41</v>
      </c>
      <c r="C122" s="7"/>
      <c r="D122" s="7"/>
      <c r="E122" s="7"/>
      <c r="F122" s="7"/>
      <c r="G122" s="7">
        <f t="shared" si="79"/>
        <v>0</v>
      </c>
    </row>
    <row r="123" spans="1:7" x14ac:dyDescent="0.35">
      <c r="A123" s="60"/>
      <c r="B123" s="63" t="s">
        <v>74</v>
      </c>
      <c r="C123" s="7"/>
      <c r="D123" s="7"/>
      <c r="E123" s="7"/>
      <c r="F123" s="7"/>
      <c r="G123" s="7">
        <f t="shared" si="79"/>
        <v>0</v>
      </c>
    </row>
    <row r="124" spans="1:7" x14ac:dyDescent="0.35">
      <c r="A124" s="60"/>
      <c r="B124" s="63" t="s">
        <v>43</v>
      </c>
      <c r="C124" s="7"/>
      <c r="D124" s="7"/>
      <c r="E124" s="7"/>
      <c r="F124" s="7"/>
      <c r="G124" s="7">
        <f t="shared" si="79"/>
        <v>0</v>
      </c>
    </row>
    <row r="125" spans="1:7" x14ac:dyDescent="0.35">
      <c r="A125" s="60"/>
      <c r="B125" s="63" t="s">
        <v>75</v>
      </c>
      <c r="C125" s="7">
        <v>0</v>
      </c>
      <c r="D125" s="7">
        <f>52000*1.02</f>
        <v>53040</v>
      </c>
      <c r="E125" s="7"/>
      <c r="F125" s="7"/>
      <c r="G125" s="7">
        <f t="shared" si="79"/>
        <v>53040</v>
      </c>
    </row>
    <row r="126" spans="1:7" x14ac:dyDescent="0.35">
      <c r="A126" s="60"/>
      <c r="B126" s="63" t="s">
        <v>76</v>
      </c>
      <c r="C126" s="7">
        <v>0</v>
      </c>
      <c r="D126" s="7">
        <v>0</v>
      </c>
      <c r="E126" s="7"/>
      <c r="F126" s="7"/>
      <c r="G126" s="7">
        <f t="shared" si="79"/>
        <v>0</v>
      </c>
    </row>
    <row r="127" spans="1:7" x14ac:dyDescent="0.35">
      <c r="A127" s="60">
        <v>107</v>
      </c>
      <c r="B127" s="63" t="s">
        <v>77</v>
      </c>
      <c r="C127" s="150"/>
      <c r="D127" s="7">
        <f t="shared" ref="D127" si="80">(12.5*6*185)*D54</f>
        <v>0</v>
      </c>
      <c r="E127" s="150"/>
      <c r="F127" s="7">
        <f>(13.25*6*185)*F54</f>
        <v>14707.5</v>
      </c>
      <c r="G127" s="7">
        <f t="shared" si="79"/>
        <v>14707.5</v>
      </c>
    </row>
    <row r="128" spans="1:7" x14ac:dyDescent="0.35">
      <c r="A128" s="60"/>
      <c r="B128" s="63" t="s">
        <v>78</v>
      </c>
      <c r="C128" s="37">
        <f>125*90</f>
        <v>11250</v>
      </c>
      <c r="D128" s="37"/>
      <c r="E128" s="37"/>
      <c r="F128" s="37"/>
      <c r="G128" s="7">
        <f t="shared" si="79"/>
        <v>11250</v>
      </c>
    </row>
    <row r="129" spans="1:9" ht="15" thickBot="1" x14ac:dyDescent="0.4">
      <c r="A129" s="72"/>
      <c r="B129" s="82" t="s">
        <v>79</v>
      </c>
      <c r="C129" s="87">
        <f>SUM(C119:C128)</f>
        <v>11250</v>
      </c>
      <c r="D129" s="87">
        <f t="shared" ref="D129" si="81">SUM(D119:D128)</f>
        <v>53040</v>
      </c>
      <c r="E129" s="87">
        <f>SUM(E119:E128)</f>
        <v>49470</v>
      </c>
      <c r="F129" s="87">
        <f t="shared" ref="F129" si="82">SUM(F119:F128)</f>
        <v>14707.5</v>
      </c>
      <c r="G129" s="87">
        <f t="shared" ref="G129" si="83">SUM(G119:G128)</f>
        <v>128467.5</v>
      </c>
    </row>
    <row r="130" spans="1:9" ht="15" thickBot="1" x14ac:dyDescent="0.4">
      <c r="A130" s="88"/>
      <c r="B130" s="89" t="s">
        <v>80</v>
      </c>
      <c r="C130" s="90">
        <f>C117+C129</f>
        <v>2376410.3840000001</v>
      </c>
      <c r="D130" s="90">
        <f t="shared" ref="D130" si="84">D117+D129</f>
        <v>196260</v>
      </c>
      <c r="E130" s="90">
        <f>E117+E129</f>
        <v>242130</v>
      </c>
      <c r="F130" s="90">
        <f t="shared" ref="F130" si="85">F117+F129</f>
        <v>14707.5</v>
      </c>
      <c r="G130" s="90">
        <f t="shared" ref="G130" si="86">G117+G129</f>
        <v>2829507.8840000001</v>
      </c>
    </row>
    <row r="131" spans="1:9" x14ac:dyDescent="0.35">
      <c r="A131" s="93">
        <v>230</v>
      </c>
      <c r="B131" s="63" t="s">
        <v>217</v>
      </c>
      <c r="C131" s="62">
        <f>C130*0.2975</f>
        <v>706982.08924</v>
      </c>
      <c r="D131" s="62">
        <f t="shared" ref="D131" si="87">D130*0.2975</f>
        <v>58387.35</v>
      </c>
      <c r="E131" s="62">
        <f>E130*0.2975</f>
        <v>72033.675000000003</v>
      </c>
      <c r="F131" s="62">
        <f t="shared" ref="F131" si="88">F130*0.2975</f>
        <v>4375.4812499999998</v>
      </c>
      <c r="G131" s="62">
        <f>G130*0.2975</f>
        <v>841778.59548999998</v>
      </c>
    </row>
    <row r="132" spans="1:9" x14ac:dyDescent="0.35">
      <c r="A132" s="65"/>
      <c r="B132" s="63" t="s">
        <v>81</v>
      </c>
      <c r="C132" s="7">
        <f>C130*0.1825</f>
        <v>433694.89507999999</v>
      </c>
      <c r="D132" s="7">
        <f>D130*0.1725</f>
        <v>33854.85</v>
      </c>
      <c r="E132" s="7">
        <f>E130*0.1825</f>
        <v>44188.724999999999</v>
      </c>
      <c r="F132" s="7">
        <f>F130*0.1725</f>
        <v>2537.0437499999998</v>
      </c>
      <c r="G132" s="7">
        <f>SUM(C132:F132)</f>
        <v>514275.51382999995</v>
      </c>
      <c r="I132" s="121"/>
    </row>
    <row r="133" spans="1:9" x14ac:dyDescent="0.35">
      <c r="A133" s="60">
        <v>150</v>
      </c>
      <c r="B133" s="63" t="s">
        <v>82</v>
      </c>
      <c r="C133" s="152">
        <f>50300+7813</f>
        <v>58113</v>
      </c>
      <c r="D133" s="152">
        <f>3400+750</f>
        <v>4150</v>
      </c>
      <c r="E133" s="152">
        <f>4900+875</f>
        <v>5775</v>
      </c>
      <c r="F133" s="152">
        <f>300+125</f>
        <v>425</v>
      </c>
      <c r="G133" s="152">
        <f>SUM(C133:F133)</f>
        <v>68463</v>
      </c>
    </row>
    <row r="134" spans="1:9" x14ac:dyDescent="0.35">
      <c r="A134" s="60">
        <v>150</v>
      </c>
      <c r="B134" s="63" t="s">
        <v>83</v>
      </c>
      <c r="C134" s="94"/>
      <c r="D134" s="94"/>
      <c r="E134" s="94"/>
      <c r="F134" s="94"/>
      <c r="G134" s="94"/>
    </row>
    <row r="135" spans="1:9" x14ac:dyDescent="0.35">
      <c r="A135" s="60">
        <v>250</v>
      </c>
      <c r="B135" s="63" t="s">
        <v>84</v>
      </c>
      <c r="C135" s="7">
        <f>1800*4</f>
        <v>7200</v>
      </c>
      <c r="D135" s="7"/>
      <c r="E135" s="7"/>
      <c r="F135" s="7"/>
      <c r="G135" s="7">
        <f t="shared" ref="G135" si="89">1800*3</f>
        <v>5400</v>
      </c>
    </row>
    <row r="136" spans="1:9" x14ac:dyDescent="0.35">
      <c r="A136" s="65"/>
      <c r="B136" s="63" t="s">
        <v>218</v>
      </c>
      <c r="C136" s="37">
        <f>(165*10*C39)-C128</f>
        <v>55575</v>
      </c>
      <c r="D136" s="37">
        <f>(165*10*(D39+D61))-D128</f>
        <v>1650</v>
      </c>
      <c r="E136" s="37">
        <f t="shared" ref="E136:F136" si="90">(165*10*E39)-E128</f>
        <v>4950</v>
      </c>
      <c r="F136" s="37">
        <f t="shared" si="90"/>
        <v>0</v>
      </c>
      <c r="G136" s="37">
        <f t="shared" ref="G136" si="91">(165*10*G39)-G128</f>
        <v>60525</v>
      </c>
    </row>
    <row r="137" spans="1:9" ht="15" thickBot="1" x14ac:dyDescent="0.4">
      <c r="A137" s="72"/>
      <c r="B137" s="91" t="s">
        <v>85</v>
      </c>
      <c r="C137" s="87">
        <f>SUM(C131:C136)</f>
        <v>1261564.98432</v>
      </c>
      <c r="D137" s="87">
        <f t="shared" ref="D137" si="92">SUM(D131:D136)</f>
        <v>98042.2</v>
      </c>
      <c r="E137" s="87">
        <f>SUM(E131:E136)</f>
        <v>126947.4</v>
      </c>
      <c r="F137" s="87">
        <f t="shared" ref="F137" si="93">SUM(F131:F136)</f>
        <v>7337.5249999999996</v>
      </c>
      <c r="G137" s="87">
        <f t="shared" ref="G137" si="94">SUM(G131:G136)</f>
        <v>1490442.1093199998</v>
      </c>
    </row>
    <row r="138" spans="1:9" ht="15" thickBot="1" x14ac:dyDescent="0.4">
      <c r="A138" s="88"/>
      <c r="B138" s="95" t="s">
        <v>86</v>
      </c>
      <c r="C138" s="90">
        <f>C130+C137</f>
        <v>3637975.3683200004</v>
      </c>
      <c r="D138" s="90">
        <f t="shared" ref="D138" si="95">D130+D137</f>
        <v>294302.2</v>
      </c>
      <c r="E138" s="90">
        <f>E130+E137</f>
        <v>369077.4</v>
      </c>
      <c r="F138" s="90">
        <f t="shared" ref="F138" si="96">F130+F137</f>
        <v>22045.025000000001</v>
      </c>
      <c r="G138" s="90">
        <f t="shared" ref="G138" si="97">G130+G137</f>
        <v>4319949.9933199994</v>
      </c>
    </row>
    <row r="139" spans="1:9" x14ac:dyDescent="0.35">
      <c r="A139" s="75"/>
      <c r="B139" s="97" t="s">
        <v>87</v>
      </c>
      <c r="C139" s="153" t="str">
        <f>C1</f>
        <v>Operating</v>
      </c>
      <c r="D139" s="153" t="str">
        <f t="shared" ref="D139" si="98">D1</f>
        <v>Weights</v>
      </c>
      <c r="E139" s="153" t="str">
        <f>E1</f>
        <v>SPED</v>
      </c>
      <c r="F139" s="153" t="str">
        <f t="shared" ref="F139:G139" si="99">F1</f>
        <v>NSLP</v>
      </c>
      <c r="G139" s="153" t="str">
        <f t="shared" si="99"/>
        <v>Totals</v>
      </c>
    </row>
    <row r="140" spans="1:9" x14ac:dyDescent="0.35">
      <c r="A140" s="65"/>
      <c r="B140" s="98" t="s">
        <v>88</v>
      </c>
      <c r="C140" s="15">
        <f>140*C19</f>
        <v>135100</v>
      </c>
      <c r="D140" s="15"/>
      <c r="E140" s="15"/>
      <c r="F140" s="15"/>
      <c r="G140" s="15">
        <f t="shared" ref="G140:G148" si="100">SUM(C140:F140)</f>
        <v>135100</v>
      </c>
    </row>
    <row r="141" spans="1:9" hidden="1" x14ac:dyDescent="0.35">
      <c r="A141" s="60">
        <v>561</v>
      </c>
      <c r="B141" s="99" t="s">
        <v>221</v>
      </c>
      <c r="C141" s="7">
        <v>0</v>
      </c>
      <c r="D141" s="7"/>
      <c r="E141" s="7"/>
      <c r="F141" s="7"/>
      <c r="G141" s="15">
        <f t="shared" si="100"/>
        <v>0</v>
      </c>
    </row>
    <row r="142" spans="1:9" x14ac:dyDescent="0.35">
      <c r="A142" s="65"/>
      <c r="B142" s="63" t="s">
        <v>89</v>
      </c>
      <c r="C142" s="11">
        <v>185000</v>
      </c>
      <c r="D142" s="11"/>
      <c r="E142" s="11"/>
      <c r="F142" s="11"/>
      <c r="G142" s="15">
        <f t="shared" si="100"/>
        <v>185000</v>
      </c>
    </row>
    <row r="143" spans="1:9" x14ac:dyDescent="0.35">
      <c r="A143" s="65"/>
      <c r="B143" s="63" t="s">
        <v>90</v>
      </c>
      <c r="C143" s="15">
        <v>40000</v>
      </c>
      <c r="D143" s="7">
        <v>0</v>
      </c>
      <c r="E143" s="7"/>
      <c r="F143" s="7"/>
      <c r="G143" s="15">
        <f t="shared" si="100"/>
        <v>40000</v>
      </c>
    </row>
    <row r="144" spans="1:9" x14ac:dyDescent="0.35">
      <c r="A144" s="60">
        <v>610</v>
      </c>
      <c r="B144" s="63" t="s">
        <v>91</v>
      </c>
      <c r="C144" s="7">
        <f>14*C19</f>
        <v>13510</v>
      </c>
      <c r="D144" s="7">
        <f t="shared" ref="D144" si="101">13*D19</f>
        <v>0</v>
      </c>
      <c r="E144" s="7"/>
      <c r="F144" s="7"/>
      <c r="G144" s="15">
        <f t="shared" si="100"/>
        <v>13510</v>
      </c>
    </row>
    <row r="145" spans="1:7" x14ac:dyDescent="0.35">
      <c r="A145" s="60">
        <v>610</v>
      </c>
      <c r="B145" s="63" t="s">
        <v>92</v>
      </c>
      <c r="C145" s="7">
        <f>(29*C19)</f>
        <v>27985</v>
      </c>
      <c r="D145" s="7">
        <v>0</v>
      </c>
      <c r="E145" s="7"/>
      <c r="F145" s="7"/>
      <c r="G145" s="15">
        <f t="shared" si="100"/>
        <v>27985</v>
      </c>
    </row>
    <row r="146" spans="1:7" x14ac:dyDescent="0.35">
      <c r="A146" s="60">
        <v>610</v>
      </c>
      <c r="B146" s="63" t="s">
        <v>93</v>
      </c>
      <c r="C146" s="7">
        <f>4.25*C19</f>
        <v>4101.25</v>
      </c>
      <c r="D146" s="7">
        <f t="shared" ref="D146" si="102">4*D19</f>
        <v>0</v>
      </c>
      <c r="E146" s="7"/>
      <c r="F146" s="7"/>
      <c r="G146" s="15">
        <f t="shared" si="100"/>
        <v>4101.25</v>
      </c>
    </row>
    <row r="147" spans="1:7" x14ac:dyDescent="0.35">
      <c r="A147" s="60">
        <v>610</v>
      </c>
      <c r="B147" s="63" t="s">
        <v>94</v>
      </c>
      <c r="C147" s="7">
        <f>3.25*C19</f>
        <v>3136.25</v>
      </c>
      <c r="D147" s="7">
        <f t="shared" ref="D147" si="103">3*D19</f>
        <v>0</v>
      </c>
      <c r="E147" s="7"/>
      <c r="F147" s="7"/>
      <c r="G147" s="15">
        <f t="shared" si="100"/>
        <v>3136.25</v>
      </c>
    </row>
    <row r="148" spans="1:7" ht="15" thickBot="1" x14ac:dyDescent="0.4">
      <c r="A148" s="60">
        <v>610</v>
      </c>
      <c r="B148" s="63" t="s">
        <v>95</v>
      </c>
      <c r="C148" s="7">
        <f>120*C22</f>
        <v>0</v>
      </c>
      <c r="D148" s="7">
        <f t="shared" ref="D148" si="104">120*D22</f>
        <v>0</v>
      </c>
      <c r="E148" s="7">
        <f>129*E22</f>
        <v>12900</v>
      </c>
      <c r="F148" s="7"/>
      <c r="G148" s="15">
        <f t="shared" si="100"/>
        <v>12900</v>
      </c>
    </row>
    <row r="149" spans="1:7" ht="15" hidden="1" thickBot="1" x14ac:dyDescent="0.4">
      <c r="A149" s="100"/>
      <c r="B149" s="63" t="s">
        <v>96</v>
      </c>
      <c r="C149" s="37">
        <v>0</v>
      </c>
      <c r="D149" s="37">
        <v>0</v>
      </c>
      <c r="E149" s="37"/>
      <c r="F149" s="37"/>
      <c r="G149" s="37">
        <v>0</v>
      </c>
    </row>
    <row r="150" spans="1:7" ht="15" thickBot="1" x14ac:dyDescent="0.4">
      <c r="A150" s="88"/>
      <c r="B150" s="95" t="s">
        <v>97</v>
      </c>
      <c r="C150" s="92">
        <f>SUM(C140:C149)</f>
        <v>408832.5</v>
      </c>
      <c r="D150" s="92">
        <f t="shared" ref="D150" si="105">SUM(D140:D149)</f>
        <v>0</v>
      </c>
      <c r="E150" s="92">
        <f t="shared" ref="E150:F150" si="106">SUM(E140:E149)</f>
        <v>12900</v>
      </c>
      <c r="F150" s="92">
        <f t="shared" si="106"/>
        <v>0</v>
      </c>
      <c r="G150" s="92">
        <f t="shared" ref="G150" si="107">SUM(G140:G149)</f>
        <v>421732.5</v>
      </c>
    </row>
    <row r="151" spans="1:7" x14ac:dyDescent="0.35">
      <c r="A151" s="75"/>
      <c r="B151" s="101" t="s">
        <v>98</v>
      </c>
      <c r="C151" s="153" t="str">
        <f>C1</f>
        <v>Operating</v>
      </c>
      <c r="D151" s="153" t="str">
        <f t="shared" ref="D151" si="108">D1</f>
        <v>Weights</v>
      </c>
      <c r="E151" s="153" t="str">
        <f>E1</f>
        <v>SPED</v>
      </c>
      <c r="F151" s="153" t="str">
        <f t="shared" ref="F151:G151" si="109">F1</f>
        <v>NSLP</v>
      </c>
      <c r="G151" s="153" t="str">
        <f t="shared" si="109"/>
        <v>Totals</v>
      </c>
    </row>
    <row r="152" spans="1:7" x14ac:dyDescent="0.35">
      <c r="A152" s="93">
        <v>320</v>
      </c>
      <c r="B152" s="63" t="s">
        <v>99</v>
      </c>
      <c r="C152" s="80"/>
      <c r="D152" s="80">
        <v>12500</v>
      </c>
      <c r="E152" s="80"/>
      <c r="F152" s="80"/>
      <c r="G152" s="80">
        <f t="shared" ref="G152:G163" si="110">SUM(C152:F152)</f>
        <v>12500</v>
      </c>
    </row>
    <row r="153" spans="1:7" x14ac:dyDescent="0.35">
      <c r="A153" s="60">
        <v>300</v>
      </c>
      <c r="B153" s="63" t="s">
        <v>100</v>
      </c>
      <c r="C153" s="14">
        <v>0</v>
      </c>
      <c r="D153" s="146"/>
      <c r="E153" s="11">
        <f>260*C19</f>
        <v>250900</v>
      </c>
      <c r="F153" s="146"/>
      <c r="G153" s="80">
        <f t="shared" si="110"/>
        <v>250900</v>
      </c>
    </row>
    <row r="154" spans="1:7" hidden="1" x14ac:dyDescent="0.35">
      <c r="A154" s="60">
        <v>310</v>
      </c>
      <c r="B154" s="63" t="s">
        <v>101</v>
      </c>
      <c r="C154" s="11">
        <v>0</v>
      </c>
      <c r="D154" s="146"/>
      <c r="E154" s="14"/>
      <c r="F154" s="146"/>
      <c r="G154" s="80">
        <f t="shared" si="110"/>
        <v>0</v>
      </c>
    </row>
    <row r="155" spans="1:7" x14ac:dyDescent="0.35">
      <c r="A155" s="60">
        <v>310</v>
      </c>
      <c r="B155" s="63" t="s">
        <v>205</v>
      </c>
      <c r="C155" s="7">
        <f>(450*C19)</f>
        <v>434250</v>
      </c>
      <c r="D155" s="7"/>
      <c r="E155" s="7"/>
      <c r="F155" s="7"/>
      <c r="G155" s="80">
        <f t="shared" si="110"/>
        <v>434250</v>
      </c>
    </row>
    <row r="156" spans="1:7" x14ac:dyDescent="0.35">
      <c r="A156" s="60">
        <v>310</v>
      </c>
      <c r="B156" s="63" t="s">
        <v>103</v>
      </c>
      <c r="C156" s="7">
        <f>(240*C67)+1500</f>
        <v>13620</v>
      </c>
      <c r="D156" s="7"/>
      <c r="E156" s="7"/>
      <c r="F156" s="7"/>
      <c r="G156" s="80">
        <f t="shared" si="110"/>
        <v>13620</v>
      </c>
    </row>
    <row r="157" spans="1:7" x14ac:dyDescent="0.35">
      <c r="A157" s="60">
        <v>340</v>
      </c>
      <c r="B157" s="63" t="s">
        <v>104</v>
      </c>
      <c r="C157" s="7">
        <v>28500</v>
      </c>
      <c r="D157" s="7"/>
      <c r="E157" s="7"/>
      <c r="F157" s="7"/>
      <c r="G157" s="80">
        <f t="shared" si="110"/>
        <v>28500</v>
      </c>
    </row>
    <row r="158" spans="1:7" x14ac:dyDescent="0.35">
      <c r="A158" s="60">
        <v>340</v>
      </c>
      <c r="B158" s="63" t="s">
        <v>105</v>
      </c>
      <c r="C158" s="7">
        <v>5500</v>
      </c>
      <c r="D158" s="7"/>
      <c r="E158" s="7"/>
      <c r="F158" s="7"/>
      <c r="G158" s="80">
        <f t="shared" si="110"/>
        <v>5500</v>
      </c>
    </row>
    <row r="159" spans="1:7" x14ac:dyDescent="0.35">
      <c r="A159" s="60">
        <v>352</v>
      </c>
      <c r="B159" s="63" t="s">
        <v>106</v>
      </c>
      <c r="C159" s="7">
        <f>42*C19</f>
        <v>40530</v>
      </c>
      <c r="D159" s="7"/>
      <c r="E159" s="7"/>
      <c r="F159" s="7"/>
      <c r="G159" s="80">
        <f t="shared" si="110"/>
        <v>40530</v>
      </c>
    </row>
    <row r="160" spans="1:7" x14ac:dyDescent="0.35">
      <c r="A160" s="60">
        <v>350</v>
      </c>
      <c r="B160" s="63" t="s">
        <v>107</v>
      </c>
      <c r="C160" s="7">
        <v>7500</v>
      </c>
      <c r="D160" s="7"/>
      <c r="E160" s="7"/>
      <c r="F160" s="7"/>
      <c r="G160" s="80">
        <f t="shared" si="110"/>
        <v>7500</v>
      </c>
    </row>
    <row r="161" spans="1:7" x14ac:dyDescent="0.35">
      <c r="A161" s="60">
        <v>591</v>
      </c>
      <c r="B161" s="63" t="s">
        <v>219</v>
      </c>
      <c r="C161" s="7">
        <f>(C88+C89)*0.0125</f>
        <v>85330.125</v>
      </c>
      <c r="D161" s="7">
        <f>(D87)*0.0125</f>
        <v>898.76250000000005</v>
      </c>
      <c r="E161" s="7"/>
      <c r="F161" s="7"/>
      <c r="G161" s="80">
        <f t="shared" si="110"/>
        <v>86228.887499999997</v>
      </c>
    </row>
    <row r="162" spans="1:7" x14ac:dyDescent="0.35">
      <c r="A162" s="60">
        <v>320</v>
      </c>
      <c r="B162" s="63" t="s">
        <v>108</v>
      </c>
      <c r="C162" s="7">
        <f>(C88+C89)*0.005</f>
        <v>34132.050000000003</v>
      </c>
      <c r="D162" s="7"/>
      <c r="E162" s="7"/>
      <c r="F162" s="7"/>
      <c r="G162" s="80">
        <f t="shared" si="110"/>
        <v>34132.050000000003</v>
      </c>
    </row>
    <row r="163" spans="1:7" ht="15" thickBot="1" x14ac:dyDescent="0.4">
      <c r="A163" s="60">
        <v>330</v>
      </c>
      <c r="B163" s="63" t="s">
        <v>109</v>
      </c>
      <c r="C163" s="7">
        <f>(C88+C89)*0.005</f>
        <v>34132.050000000003</v>
      </c>
      <c r="D163" s="7"/>
      <c r="E163" s="7"/>
      <c r="F163" s="7"/>
      <c r="G163" s="80">
        <f t="shared" si="110"/>
        <v>34132.050000000003</v>
      </c>
    </row>
    <row r="164" spans="1:7" ht="15" hidden="1" thickBot="1" x14ac:dyDescent="0.4">
      <c r="A164" s="60">
        <v>330</v>
      </c>
      <c r="B164" s="63" t="s">
        <v>110</v>
      </c>
      <c r="C164" s="81"/>
      <c r="D164" s="81"/>
      <c r="E164" s="81"/>
      <c r="F164" s="81"/>
      <c r="G164" s="81"/>
    </row>
    <row r="165" spans="1:7" ht="15" thickBot="1" x14ac:dyDescent="0.4">
      <c r="A165" s="88"/>
      <c r="B165" s="95" t="s">
        <v>111</v>
      </c>
      <c r="C165" s="92">
        <f>SUM(C152:C164)</f>
        <v>683494.22500000009</v>
      </c>
      <c r="D165" s="92">
        <f t="shared" ref="D165" si="111">SUM(D152:D164)</f>
        <v>13398.762500000001</v>
      </c>
      <c r="E165" s="92">
        <f>SUM(E152:E164)</f>
        <v>250900</v>
      </c>
      <c r="F165" s="92">
        <f t="shared" ref="F165" si="112">SUM(F152:F164)</f>
        <v>0</v>
      </c>
      <c r="G165" s="92">
        <f t="shared" ref="G165" si="113">SUM(G152:G164)</f>
        <v>947792.98750000005</v>
      </c>
    </row>
    <row r="166" spans="1:7" x14ac:dyDescent="0.35">
      <c r="A166" s="75"/>
      <c r="B166" s="101" t="s">
        <v>112</v>
      </c>
      <c r="C166" s="153" t="str">
        <f>C151</f>
        <v>Operating</v>
      </c>
      <c r="D166" s="153" t="str">
        <f t="shared" ref="D166" si="114">D151</f>
        <v>Weights</v>
      </c>
      <c r="E166" s="153" t="str">
        <f>E151</f>
        <v>SPED</v>
      </c>
      <c r="F166" s="153" t="str">
        <f t="shared" ref="F166:G166" si="115">F151</f>
        <v>NSLP</v>
      </c>
      <c r="G166" s="153" t="str">
        <f t="shared" si="115"/>
        <v>Totals</v>
      </c>
    </row>
    <row r="167" spans="1:7" x14ac:dyDescent="0.35">
      <c r="A167" s="60">
        <v>533</v>
      </c>
      <c r="B167" s="63" t="s">
        <v>113</v>
      </c>
      <c r="C167" s="15">
        <f>1320*12+(75*12)</f>
        <v>16740</v>
      </c>
      <c r="D167" s="15"/>
      <c r="E167" s="7"/>
      <c r="F167" s="7"/>
      <c r="G167" s="7">
        <f t="shared" ref="G167:G173" si="116">SUM(C167:F167)</f>
        <v>16740</v>
      </c>
    </row>
    <row r="168" spans="1:7" x14ac:dyDescent="0.35">
      <c r="A168" s="60">
        <v>535</v>
      </c>
      <c r="B168" s="63" t="s">
        <v>114</v>
      </c>
      <c r="C168" s="15">
        <f>325*12</f>
        <v>3900</v>
      </c>
      <c r="D168" s="15"/>
      <c r="E168" s="7"/>
      <c r="F168" s="7"/>
      <c r="G168" s="7">
        <f t="shared" si="116"/>
        <v>3900</v>
      </c>
    </row>
    <row r="169" spans="1:7" hidden="1" x14ac:dyDescent="0.35">
      <c r="A169" s="60">
        <v>534</v>
      </c>
      <c r="B169" s="63" t="s">
        <v>115</v>
      </c>
      <c r="C169" s="7"/>
      <c r="D169" s="7"/>
      <c r="E169" s="7"/>
      <c r="F169" s="7"/>
      <c r="G169" s="7">
        <f t="shared" si="116"/>
        <v>0</v>
      </c>
    </row>
    <row r="170" spans="1:7" x14ac:dyDescent="0.35">
      <c r="A170" s="60">
        <v>531</v>
      </c>
      <c r="B170" s="63" t="s">
        <v>116</v>
      </c>
      <c r="C170" s="7">
        <v>800</v>
      </c>
      <c r="D170" s="7"/>
      <c r="E170" s="7"/>
      <c r="F170" s="7"/>
      <c r="G170" s="7">
        <f t="shared" si="116"/>
        <v>800</v>
      </c>
    </row>
    <row r="171" spans="1:7" x14ac:dyDescent="0.35">
      <c r="A171" s="60">
        <v>535</v>
      </c>
      <c r="B171" s="63" t="s">
        <v>117</v>
      </c>
      <c r="C171" s="7">
        <v>4750</v>
      </c>
      <c r="D171" s="7"/>
      <c r="E171" s="7"/>
      <c r="F171" s="7"/>
      <c r="G171" s="7">
        <f t="shared" si="116"/>
        <v>4750</v>
      </c>
    </row>
    <row r="172" spans="1:7" x14ac:dyDescent="0.35">
      <c r="A172" s="60">
        <v>443</v>
      </c>
      <c r="B172" s="63" t="s">
        <v>118</v>
      </c>
      <c r="C172" s="15">
        <v>24200</v>
      </c>
      <c r="D172" s="7"/>
      <c r="E172" s="7"/>
      <c r="F172" s="7"/>
      <c r="G172" s="7">
        <f t="shared" si="116"/>
        <v>24200</v>
      </c>
    </row>
    <row r="173" spans="1:7" ht="15" thickBot="1" x14ac:dyDescent="0.4">
      <c r="A173" s="60">
        <v>651</v>
      </c>
      <c r="B173" s="63" t="s">
        <v>119</v>
      </c>
      <c r="C173" s="7">
        <v>3200</v>
      </c>
      <c r="D173" s="7"/>
      <c r="E173" s="7"/>
      <c r="F173" s="7"/>
      <c r="G173" s="7">
        <f t="shared" si="116"/>
        <v>3200</v>
      </c>
    </row>
    <row r="174" spans="1:7" ht="15" thickBot="1" x14ac:dyDescent="0.4">
      <c r="A174" s="88"/>
      <c r="B174" s="95" t="s">
        <v>120</v>
      </c>
      <c r="C174" s="92">
        <f>SUM(C167:C173)</f>
        <v>53590</v>
      </c>
      <c r="D174" s="92">
        <f t="shared" ref="D174" si="117">SUM(D167:D173)</f>
        <v>0</v>
      </c>
      <c r="E174" s="92">
        <f t="shared" ref="E174" si="118">SUM(E167:E173)</f>
        <v>0</v>
      </c>
      <c r="F174" s="92">
        <f t="shared" ref="F174" si="119">SUM(F167:F173)</f>
        <v>0</v>
      </c>
      <c r="G174" s="92">
        <f t="shared" ref="G174" si="120">SUM(G167:G173)</f>
        <v>53590</v>
      </c>
    </row>
    <row r="175" spans="1:7" x14ac:dyDescent="0.35">
      <c r="A175" s="75"/>
      <c r="B175" s="101" t="s">
        <v>121</v>
      </c>
      <c r="C175" s="96"/>
      <c r="D175" s="96"/>
      <c r="E175" s="96"/>
      <c r="F175" s="96"/>
      <c r="G175" s="96"/>
    </row>
    <row r="176" spans="1:7" x14ac:dyDescent="0.35">
      <c r="A176" s="60">
        <v>521</v>
      </c>
      <c r="B176" s="63" t="s">
        <v>222</v>
      </c>
      <c r="C176" s="15">
        <f>11000*1.1</f>
        <v>12100.000000000002</v>
      </c>
      <c r="D176" s="15"/>
      <c r="E176" s="15"/>
      <c r="F176" s="15"/>
      <c r="G176" s="15">
        <f>SUM(C176:F176)</f>
        <v>12100.000000000002</v>
      </c>
    </row>
    <row r="177" spans="1:7" x14ac:dyDescent="0.35">
      <c r="A177" s="60">
        <v>522</v>
      </c>
      <c r="B177" s="63" t="s">
        <v>122</v>
      </c>
      <c r="C177" s="15">
        <f>10000*1.1</f>
        <v>11000</v>
      </c>
      <c r="D177" s="7"/>
      <c r="E177" s="7"/>
      <c r="F177" s="7"/>
      <c r="G177" s="15">
        <f>SUM(C177:F177)</f>
        <v>11000</v>
      </c>
    </row>
    <row r="178" spans="1:7" ht="15" thickBot="1" x14ac:dyDescent="0.4">
      <c r="A178" s="60">
        <v>523</v>
      </c>
      <c r="B178" s="63" t="s">
        <v>123</v>
      </c>
      <c r="C178" s="152">
        <f>17500*1.1</f>
        <v>19250</v>
      </c>
      <c r="D178" s="7"/>
      <c r="E178" s="7"/>
      <c r="F178" s="7"/>
      <c r="G178" s="15">
        <f>SUM(C178:F178)</f>
        <v>19250</v>
      </c>
    </row>
    <row r="179" spans="1:7" ht="15" thickBot="1" x14ac:dyDescent="0.4">
      <c r="A179" s="88"/>
      <c r="B179" s="95" t="s">
        <v>124</v>
      </c>
      <c r="C179" s="92">
        <f>SUM(C176:C178)</f>
        <v>42350</v>
      </c>
      <c r="D179" s="92">
        <f t="shared" ref="D179" si="121">SUM(D176:D178)</f>
        <v>0</v>
      </c>
      <c r="E179" s="92">
        <f t="shared" ref="E179" si="122">SUM(E176:E178)</f>
        <v>0</v>
      </c>
      <c r="F179" s="92">
        <f t="shared" ref="F179" si="123">SUM(F176:F178)</f>
        <v>0</v>
      </c>
      <c r="G179" s="92">
        <f t="shared" ref="G179" si="124">SUM(G176:G178)</f>
        <v>42350</v>
      </c>
    </row>
    <row r="180" spans="1:7" x14ac:dyDescent="0.35">
      <c r="A180" s="75"/>
      <c r="B180" s="101" t="s">
        <v>125</v>
      </c>
      <c r="C180" s="96" t="str">
        <f>C1</f>
        <v>Operating</v>
      </c>
      <c r="D180" s="96" t="str">
        <f t="shared" ref="D180" si="125">D1</f>
        <v>Weights</v>
      </c>
      <c r="E180" s="96" t="str">
        <f>E1</f>
        <v>SPED</v>
      </c>
      <c r="F180" s="96" t="str">
        <f t="shared" ref="F180:G180" si="126">F1</f>
        <v>NSLP</v>
      </c>
      <c r="G180" s="96" t="str">
        <f t="shared" si="126"/>
        <v>Totals</v>
      </c>
    </row>
    <row r="181" spans="1:7" x14ac:dyDescent="0.35">
      <c r="A181" s="60">
        <v>570</v>
      </c>
      <c r="B181" s="63" t="s">
        <v>126</v>
      </c>
      <c r="C181" s="146">
        <f>(($C$19*C25)*3.56*180)</f>
        <v>0</v>
      </c>
      <c r="D181" s="146"/>
      <c r="E181" s="146"/>
      <c r="F181" s="14">
        <f>(($C$19*F25)*3.75*180)+1000</f>
        <v>43274.237500000003</v>
      </c>
      <c r="G181" s="14">
        <f t="shared" ref="G181:G189" si="127">SUM(C181:F181)</f>
        <v>43274.237500000003</v>
      </c>
    </row>
    <row r="182" spans="1:7" x14ac:dyDescent="0.35">
      <c r="A182" s="60">
        <v>540</v>
      </c>
      <c r="B182" s="63" t="s">
        <v>127</v>
      </c>
      <c r="C182" s="7">
        <v>1500</v>
      </c>
      <c r="D182" s="7"/>
      <c r="E182" s="7"/>
      <c r="F182" s="7"/>
      <c r="G182" s="14">
        <f t="shared" si="127"/>
        <v>1500</v>
      </c>
    </row>
    <row r="183" spans="1:7" x14ac:dyDescent="0.35">
      <c r="A183" s="60">
        <v>580</v>
      </c>
      <c r="B183" s="63" t="s">
        <v>128</v>
      </c>
      <c r="C183" s="7">
        <v>1250</v>
      </c>
      <c r="D183" s="7"/>
      <c r="E183" s="7"/>
      <c r="F183" s="7"/>
      <c r="G183" s="14">
        <f t="shared" si="127"/>
        <v>1250</v>
      </c>
    </row>
    <row r="184" spans="1:7" x14ac:dyDescent="0.35">
      <c r="A184" s="60">
        <v>340</v>
      </c>
      <c r="B184" s="63" t="s">
        <v>129</v>
      </c>
      <c r="C184" s="7">
        <v>1200</v>
      </c>
      <c r="D184" s="7"/>
      <c r="E184" s="7"/>
      <c r="F184" s="7"/>
      <c r="G184" s="14">
        <f t="shared" si="127"/>
        <v>1200</v>
      </c>
    </row>
    <row r="185" spans="1:7" x14ac:dyDescent="0.35">
      <c r="A185" s="79">
        <v>810</v>
      </c>
      <c r="B185" s="63" t="s">
        <v>130</v>
      </c>
      <c r="C185" s="15">
        <v>11500</v>
      </c>
      <c r="D185" s="15"/>
      <c r="E185" s="15"/>
      <c r="F185" s="15"/>
      <c r="G185" s="14">
        <f t="shared" si="127"/>
        <v>11500</v>
      </c>
    </row>
    <row r="186" spans="1:7" x14ac:dyDescent="0.35">
      <c r="A186" s="65"/>
      <c r="B186" s="63" t="s">
        <v>131</v>
      </c>
      <c r="C186" s="159"/>
      <c r="D186" s="152"/>
      <c r="E186" s="152"/>
      <c r="F186" s="152"/>
      <c r="G186" s="14">
        <f t="shared" si="127"/>
        <v>0</v>
      </c>
    </row>
    <row r="187" spans="1:7" x14ac:dyDescent="0.35">
      <c r="A187" s="65"/>
      <c r="B187" s="63" t="s">
        <v>132</v>
      </c>
      <c r="C187" s="159"/>
      <c r="D187" s="15"/>
      <c r="E187" s="15"/>
      <c r="F187" s="15"/>
      <c r="G187" s="14">
        <f t="shared" si="127"/>
        <v>0</v>
      </c>
    </row>
    <row r="188" spans="1:7" x14ac:dyDescent="0.35">
      <c r="A188" s="65"/>
      <c r="B188" s="63" t="s">
        <v>133</v>
      </c>
      <c r="C188" s="159"/>
      <c r="D188" s="15"/>
      <c r="E188" s="15"/>
      <c r="F188" s="15"/>
      <c r="G188" s="14">
        <f t="shared" si="127"/>
        <v>0</v>
      </c>
    </row>
    <row r="189" spans="1:7" ht="15" thickBot="1" x14ac:dyDescent="0.4">
      <c r="A189" s="60">
        <v>900</v>
      </c>
      <c r="B189" s="63" t="s">
        <v>134</v>
      </c>
      <c r="C189" s="7">
        <v>1750</v>
      </c>
      <c r="D189" s="7"/>
      <c r="E189" s="7"/>
      <c r="F189" s="7"/>
      <c r="G189" s="14">
        <f t="shared" si="127"/>
        <v>1750</v>
      </c>
    </row>
    <row r="190" spans="1:7" ht="15" thickBot="1" x14ac:dyDescent="0.4">
      <c r="A190" s="88"/>
      <c r="B190" s="95" t="s">
        <v>135</v>
      </c>
      <c r="C190" s="92">
        <f>SUM(C181:C189)</f>
        <v>17200</v>
      </c>
      <c r="D190" s="92">
        <f t="shared" ref="D190" si="128">SUM(D181:D189)</f>
        <v>0</v>
      </c>
      <c r="E190" s="92">
        <f t="shared" ref="E190" si="129">SUM(E181:E189)</f>
        <v>0</v>
      </c>
      <c r="F190" s="92">
        <f t="shared" ref="F190" si="130">SUM(F181:F189)</f>
        <v>43274.237500000003</v>
      </c>
      <c r="G190" s="92">
        <f t="shared" ref="G190" si="131">SUM(G181:G189)</f>
        <v>60474.237500000003</v>
      </c>
    </row>
    <row r="191" spans="1:7" x14ac:dyDescent="0.35">
      <c r="A191" s="75"/>
      <c r="B191" s="101" t="s">
        <v>136</v>
      </c>
      <c r="C191" s="77" t="str">
        <f>C180</f>
        <v>Operating</v>
      </c>
      <c r="D191" s="77" t="str">
        <f t="shared" ref="D191" si="132">D180</f>
        <v>Weights</v>
      </c>
      <c r="E191" s="77" t="str">
        <f>E180</f>
        <v>SPED</v>
      </c>
      <c r="F191" s="77" t="str">
        <f t="shared" ref="F191:G191" si="133">F180</f>
        <v>NSLP</v>
      </c>
      <c r="G191" s="77" t="str">
        <f t="shared" si="133"/>
        <v>Totals</v>
      </c>
    </row>
    <row r="192" spans="1:7" x14ac:dyDescent="0.35">
      <c r="A192" s="93">
        <v>622</v>
      </c>
      <c r="B192" s="63" t="s">
        <v>137</v>
      </c>
      <c r="C192" s="62">
        <f>5000*12</f>
        <v>60000</v>
      </c>
      <c r="D192" s="62"/>
      <c r="E192" s="62"/>
      <c r="F192" s="62"/>
      <c r="G192" s="62">
        <f t="shared" ref="G192:G202" si="134">SUM(C192:F192)</f>
        <v>60000</v>
      </c>
    </row>
    <row r="193" spans="1:7" x14ac:dyDescent="0.35">
      <c r="A193" s="60">
        <v>621</v>
      </c>
      <c r="B193" s="63" t="s">
        <v>138</v>
      </c>
      <c r="C193" s="15">
        <v>3800</v>
      </c>
      <c r="D193" s="15"/>
      <c r="E193" s="15"/>
      <c r="F193" s="15"/>
      <c r="G193" s="62">
        <f t="shared" si="134"/>
        <v>3800</v>
      </c>
    </row>
    <row r="194" spans="1:7" x14ac:dyDescent="0.35">
      <c r="A194" s="60">
        <v>411</v>
      </c>
      <c r="B194" s="63" t="s">
        <v>139</v>
      </c>
      <c r="C194" s="7">
        <f>500*12</f>
        <v>6000</v>
      </c>
      <c r="D194" s="7"/>
      <c r="E194" s="7"/>
      <c r="F194" s="7"/>
      <c r="G194" s="62">
        <f t="shared" si="134"/>
        <v>6000</v>
      </c>
    </row>
    <row r="195" spans="1:7" x14ac:dyDescent="0.35">
      <c r="A195" s="60">
        <v>422</v>
      </c>
      <c r="B195" s="63" t="s">
        <v>140</v>
      </c>
      <c r="C195" s="7">
        <v>24000</v>
      </c>
      <c r="D195" s="7"/>
      <c r="E195" s="7"/>
      <c r="F195" s="7"/>
      <c r="G195" s="62">
        <f t="shared" si="134"/>
        <v>24000</v>
      </c>
    </row>
    <row r="196" spans="1:7" x14ac:dyDescent="0.35">
      <c r="A196" s="60">
        <v>490</v>
      </c>
      <c r="B196" s="63" t="s">
        <v>141</v>
      </c>
      <c r="C196" s="7">
        <f>(270*12)+(105*12)+2500</f>
        <v>7000</v>
      </c>
      <c r="D196" s="7"/>
      <c r="E196" s="7"/>
      <c r="F196" s="7"/>
      <c r="G196" s="62">
        <f t="shared" si="134"/>
        <v>7000</v>
      </c>
    </row>
    <row r="197" spans="1:7" x14ac:dyDescent="0.35">
      <c r="A197" s="60">
        <v>422</v>
      </c>
      <c r="B197" s="63" t="s">
        <v>142</v>
      </c>
      <c r="C197" s="15">
        <f>8035*13*1.04</f>
        <v>108633.2</v>
      </c>
      <c r="D197" s="11"/>
      <c r="E197" s="11"/>
      <c r="F197" s="11"/>
      <c r="G197" s="62">
        <f t="shared" si="134"/>
        <v>108633.2</v>
      </c>
    </row>
    <row r="198" spans="1:7" x14ac:dyDescent="0.35">
      <c r="A198" s="60">
        <v>610</v>
      </c>
      <c r="B198" s="63" t="s">
        <v>143</v>
      </c>
      <c r="C198" s="7">
        <f>32*C5</f>
        <v>30880</v>
      </c>
      <c r="D198" s="7"/>
      <c r="E198" s="7"/>
      <c r="F198" s="7"/>
      <c r="G198" s="62">
        <f t="shared" si="134"/>
        <v>30880</v>
      </c>
    </row>
    <row r="199" spans="1:7" x14ac:dyDescent="0.35">
      <c r="A199" s="60" t="s">
        <v>144</v>
      </c>
      <c r="B199" s="63" t="s">
        <v>145</v>
      </c>
      <c r="C199" s="7">
        <v>41000</v>
      </c>
      <c r="D199" s="7"/>
      <c r="E199" s="7"/>
      <c r="F199" s="7"/>
      <c r="G199" s="62">
        <f t="shared" si="134"/>
        <v>41000</v>
      </c>
    </row>
    <row r="200" spans="1:7" x14ac:dyDescent="0.35">
      <c r="A200" s="60">
        <v>420</v>
      </c>
      <c r="B200" s="63" t="s">
        <v>146</v>
      </c>
      <c r="C200" s="7">
        <f>1456*12</f>
        <v>17472</v>
      </c>
      <c r="D200" s="11"/>
      <c r="E200" s="11"/>
      <c r="F200" s="11"/>
      <c r="G200" s="62">
        <f t="shared" si="134"/>
        <v>17472</v>
      </c>
    </row>
    <row r="201" spans="1:7" x14ac:dyDescent="0.35">
      <c r="A201" s="60">
        <v>420</v>
      </c>
      <c r="B201" s="63" t="s">
        <v>147</v>
      </c>
      <c r="C201" s="7">
        <v>15500</v>
      </c>
      <c r="D201" s="7"/>
      <c r="E201" s="7"/>
      <c r="F201" s="7"/>
      <c r="G201" s="62">
        <f t="shared" si="134"/>
        <v>15500</v>
      </c>
    </row>
    <row r="202" spans="1:7" ht="15" thickBot="1" x14ac:dyDescent="0.4">
      <c r="A202" s="64">
        <v>431</v>
      </c>
      <c r="B202" s="63" t="s">
        <v>148</v>
      </c>
      <c r="C202" s="37">
        <f>(3963*2)+1500</f>
        <v>9426</v>
      </c>
      <c r="D202" s="86"/>
      <c r="E202" s="86"/>
      <c r="F202" s="86"/>
      <c r="G202" s="62">
        <f t="shared" si="134"/>
        <v>9426</v>
      </c>
    </row>
    <row r="203" spans="1:7" ht="15" thickBot="1" x14ac:dyDescent="0.4">
      <c r="A203" s="88"/>
      <c r="B203" s="95" t="s">
        <v>149</v>
      </c>
      <c r="C203" s="90">
        <f>SUM(C192:C202)</f>
        <v>323711.2</v>
      </c>
      <c r="D203" s="90">
        <f t="shared" ref="D203" si="135">SUM(D192:D202)</f>
        <v>0</v>
      </c>
      <c r="E203" s="90">
        <f>SUM(E192:E202)</f>
        <v>0</v>
      </c>
      <c r="F203" s="90">
        <f t="shared" ref="F203" si="136">SUM(F192:F202)</f>
        <v>0</v>
      </c>
      <c r="G203" s="90">
        <f t="shared" ref="G203" si="137">SUM(G192:G202)</f>
        <v>323711.2</v>
      </c>
    </row>
    <row r="204" spans="1:7" ht="15" thickBot="1" x14ac:dyDescent="0.4">
      <c r="A204" s="70"/>
      <c r="B204" s="102"/>
      <c r="C204" s="103"/>
      <c r="D204" s="103"/>
      <c r="E204" s="103"/>
      <c r="F204" s="103"/>
      <c r="G204" s="103"/>
    </row>
    <row r="205" spans="1:7" ht="15" thickBot="1" x14ac:dyDescent="0.4">
      <c r="A205" s="70"/>
      <c r="B205" s="95" t="s">
        <v>150</v>
      </c>
      <c r="C205" s="104">
        <f>C138+C150+C165+C174+C179+C190+C203</f>
        <v>5167153.2933200011</v>
      </c>
      <c r="D205" s="104">
        <f t="shared" ref="D205" si="138">D138+D150+D165+D174+D179+D190+D203</f>
        <v>307700.96250000002</v>
      </c>
      <c r="E205" s="104">
        <f>E138+E150+E165+E174+E179+E190+E203</f>
        <v>632877.4</v>
      </c>
      <c r="F205" s="104">
        <f t="shared" ref="F205" si="139">F138+F150+F165+F174+F179+F190+F203</f>
        <v>65319.262500000004</v>
      </c>
      <c r="G205" s="104">
        <f>G138+G150+G165+G174+G179+G190+G203</f>
        <v>6169600.9183199992</v>
      </c>
    </row>
    <row r="206" spans="1:7" x14ac:dyDescent="0.35">
      <c r="A206" s="70"/>
      <c r="B206" s="105"/>
      <c r="C206" s="62"/>
      <c r="D206" s="62"/>
      <c r="E206" s="62"/>
      <c r="F206" s="62"/>
      <c r="G206" s="62"/>
    </row>
    <row r="207" spans="1:7" x14ac:dyDescent="0.35">
      <c r="A207" s="70"/>
      <c r="B207" s="106" t="s">
        <v>151</v>
      </c>
      <c r="C207" s="15">
        <v>0</v>
      </c>
      <c r="D207" s="7"/>
      <c r="E207" s="7"/>
      <c r="F207" s="7"/>
      <c r="G207" s="7">
        <f t="shared" ref="G207:G216" si="140">SUM(C207:F207)</f>
        <v>0</v>
      </c>
    </row>
    <row r="208" spans="1:7" x14ac:dyDescent="0.35">
      <c r="A208" s="70"/>
      <c r="B208" s="106" t="s">
        <v>152</v>
      </c>
      <c r="C208" s="15">
        <v>1001588</v>
      </c>
      <c r="D208" s="7">
        <v>0</v>
      </c>
      <c r="E208" s="7"/>
      <c r="F208" s="7"/>
      <c r="G208" s="7">
        <f t="shared" si="140"/>
        <v>1001588</v>
      </c>
    </row>
    <row r="209" spans="1:9" hidden="1" x14ac:dyDescent="0.35">
      <c r="A209" s="70"/>
      <c r="B209" s="106"/>
      <c r="C209" s="7"/>
      <c r="D209" s="7"/>
      <c r="E209" s="7"/>
      <c r="F209" s="7"/>
      <c r="G209" s="7">
        <f t="shared" si="140"/>
        <v>0</v>
      </c>
    </row>
    <row r="210" spans="1:9" hidden="1" x14ac:dyDescent="0.35">
      <c r="A210" s="70"/>
      <c r="B210" s="106"/>
      <c r="C210" s="7"/>
      <c r="D210" s="7"/>
      <c r="E210" s="7"/>
      <c r="F210" s="7"/>
      <c r="G210" s="7">
        <f t="shared" si="140"/>
        <v>0</v>
      </c>
    </row>
    <row r="211" spans="1:9" hidden="1" x14ac:dyDescent="0.35">
      <c r="A211" s="70"/>
      <c r="B211" s="106"/>
      <c r="C211" s="7"/>
      <c r="D211" s="7"/>
      <c r="E211" s="7"/>
      <c r="F211" s="7"/>
      <c r="G211" s="7">
        <f t="shared" si="140"/>
        <v>0</v>
      </c>
    </row>
    <row r="212" spans="1:9" hidden="1" x14ac:dyDescent="0.35">
      <c r="A212" s="70"/>
      <c r="B212" s="106"/>
      <c r="C212" s="7"/>
      <c r="D212" s="7"/>
      <c r="E212" s="7"/>
      <c r="F212" s="7"/>
      <c r="G212" s="7">
        <f t="shared" si="140"/>
        <v>0</v>
      </c>
    </row>
    <row r="213" spans="1:9" hidden="1" x14ac:dyDescent="0.35">
      <c r="A213" s="70"/>
      <c r="B213" s="106"/>
      <c r="C213" s="7"/>
      <c r="D213" s="7"/>
      <c r="E213" s="7"/>
      <c r="F213" s="7"/>
      <c r="G213" s="7">
        <f t="shared" si="140"/>
        <v>0</v>
      </c>
    </row>
    <row r="214" spans="1:9" hidden="1" x14ac:dyDescent="0.35">
      <c r="A214" s="70"/>
      <c r="B214" s="106" t="s">
        <v>152</v>
      </c>
      <c r="C214" s="7"/>
      <c r="D214" s="7"/>
      <c r="E214" s="7"/>
      <c r="F214" s="7"/>
      <c r="G214" s="7">
        <f t="shared" si="140"/>
        <v>0</v>
      </c>
    </row>
    <row r="215" spans="1:9" hidden="1" x14ac:dyDescent="0.35">
      <c r="A215" s="70"/>
      <c r="B215" s="107" t="s">
        <v>153</v>
      </c>
      <c r="C215" s="7">
        <v>0</v>
      </c>
      <c r="D215" s="7">
        <v>0</v>
      </c>
      <c r="E215" s="7"/>
      <c r="F215" s="7"/>
      <c r="G215" s="7">
        <f t="shared" si="140"/>
        <v>0</v>
      </c>
    </row>
    <row r="216" spans="1:9" x14ac:dyDescent="0.35">
      <c r="A216" s="70"/>
      <c r="B216" s="150"/>
      <c r="C216" s="7"/>
      <c r="D216" s="7"/>
      <c r="E216" s="7"/>
      <c r="F216" s="7"/>
      <c r="G216" s="7">
        <f t="shared" si="140"/>
        <v>0</v>
      </c>
    </row>
    <row r="217" spans="1:9" x14ac:dyDescent="0.35">
      <c r="A217" s="70"/>
      <c r="B217" s="151"/>
      <c r="C217" s="7"/>
      <c r="D217" s="7"/>
      <c r="E217" s="7"/>
      <c r="F217" s="7"/>
      <c r="G217" s="7"/>
    </row>
    <row r="218" spans="1:9" ht="15" thickBot="1" x14ac:dyDescent="0.4">
      <c r="A218" s="70"/>
      <c r="B218" s="148" t="s">
        <v>154</v>
      </c>
      <c r="C218" s="149">
        <f>C87-C205-C207-C208-C214-C215</f>
        <v>657668.7066799989</v>
      </c>
      <c r="D218" s="149">
        <f t="shared" ref="D218" si="141">D87-D205-D207-D208-D214-D215</f>
        <v>-235799.96250000002</v>
      </c>
      <c r="E218" s="149">
        <f>E87-E205-E207-E208-E214-E215</f>
        <v>-188253.40000000002</v>
      </c>
      <c r="F218" s="149">
        <f t="shared" ref="F218:G218" si="142">F87-F205-F207-F208-F214-F215</f>
        <v>-25863.307500000003</v>
      </c>
      <c r="G218" s="149">
        <f t="shared" si="142"/>
        <v>211202.03668000083</v>
      </c>
      <c r="H218" s="122"/>
      <c r="I218" s="122"/>
    </row>
    <row r="219" spans="1:9" ht="15" thickBot="1" x14ac:dyDescent="0.4">
      <c r="A219" s="70"/>
      <c r="B219" s="108"/>
      <c r="C219" s="110">
        <f>C218/(C87-C77)</f>
        <v>9.6341811681396064E-2</v>
      </c>
      <c r="D219" s="110">
        <f t="shared" ref="D219" si="143">D218/(D87-D77)</f>
        <v>-3.2795088037718534</v>
      </c>
      <c r="E219" s="110">
        <f>E218/(E87-E77)</f>
        <v>-0.42339909676490706</v>
      </c>
      <c r="F219" s="110">
        <f>F218/(F87)</f>
        <v>-0.65549820046175544</v>
      </c>
      <c r="G219" s="110">
        <f t="shared" ref="G219" si="144">G218/(G87-G77)</f>
        <v>2.8762618309981069E-2</v>
      </c>
    </row>
    <row r="220" spans="1:9" x14ac:dyDescent="0.35">
      <c r="A220" s="5"/>
      <c r="C220" s="111"/>
      <c r="D220" s="111"/>
      <c r="E220" s="111"/>
      <c r="F220" s="111"/>
      <c r="G220" s="111"/>
    </row>
    <row r="221" spans="1:9" x14ac:dyDescent="0.35">
      <c r="A221" s="5"/>
      <c r="B221" s="112" t="str">
        <f>B1</f>
        <v xml:space="preserve">DANN FY 23 </v>
      </c>
      <c r="C221" s="112" t="str">
        <f>C1</f>
        <v>Operating</v>
      </c>
      <c r="D221" s="112" t="str">
        <f t="shared" ref="D221" si="145">D1</f>
        <v>Weights</v>
      </c>
      <c r="E221" s="112" t="str">
        <f>E1</f>
        <v>SPED</v>
      </c>
      <c r="F221" s="112" t="str">
        <f t="shared" ref="F221:G221" si="146">F1</f>
        <v>NSLP</v>
      </c>
      <c r="G221" s="112" t="str">
        <f t="shared" si="146"/>
        <v>Totals</v>
      </c>
    </row>
    <row r="222" spans="1:9" x14ac:dyDescent="0.35">
      <c r="A222" s="5"/>
      <c r="C222" s="109"/>
      <c r="D222" s="109"/>
      <c r="E222" s="109"/>
      <c r="F222" s="109"/>
      <c r="G222" s="109"/>
    </row>
  </sheetData>
  <pageMargins left="0.7" right="0.7" top="0.75" bottom="0.75" header="0.3" footer="0.3"/>
  <pageSetup scale="64" orientation="portrait" r:id="rId1"/>
  <rowBreaks count="2" manualBreakCount="2">
    <brk id="72" max="6" man="1"/>
    <brk id="138" max="6" man="1"/>
  </rowBreaks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5" zoomScaleNormal="75" workbookViewId="0">
      <selection activeCell="K10" sqref="K10"/>
    </sheetView>
  </sheetViews>
  <sheetFormatPr defaultRowHeight="14.5" x14ac:dyDescent="0.35"/>
  <cols>
    <col min="1" max="1" width="11.08984375" bestFit="1" customWidth="1"/>
    <col min="2" max="2" width="10.08984375" bestFit="1" customWidth="1"/>
    <col min="6" max="6" width="10.08984375" customWidth="1"/>
  </cols>
  <sheetData>
    <row r="1" spans="1:6" ht="18.5" x14ac:dyDescent="0.45">
      <c r="A1" s="369" t="s">
        <v>249</v>
      </c>
      <c r="B1" s="369"/>
      <c r="C1" s="369"/>
      <c r="D1" s="369"/>
      <c r="E1" s="369"/>
      <c r="F1" s="369"/>
    </row>
    <row r="2" spans="1:6" ht="18.5" x14ac:dyDescent="0.45">
      <c r="A2" s="175"/>
      <c r="B2" s="370" t="s">
        <v>237</v>
      </c>
      <c r="C2" s="370"/>
      <c r="D2" s="370"/>
      <c r="E2" s="370"/>
      <c r="F2" s="370"/>
    </row>
    <row r="3" spans="1:6" ht="18.5" x14ac:dyDescent="0.45">
      <c r="A3" s="176"/>
      <c r="B3" s="177" t="s">
        <v>238</v>
      </c>
      <c r="C3" s="177" t="s">
        <v>239</v>
      </c>
      <c r="D3" s="177" t="s">
        <v>75</v>
      </c>
      <c r="E3" s="177" t="s">
        <v>240</v>
      </c>
      <c r="F3" s="177" t="s">
        <v>15</v>
      </c>
    </row>
    <row r="4" spans="1:6" ht="18.5" x14ac:dyDescent="0.45">
      <c r="A4" s="176" t="s">
        <v>241</v>
      </c>
      <c r="B4" s="178">
        <v>6980.4</v>
      </c>
      <c r="C4" s="178">
        <v>1634.62</v>
      </c>
      <c r="D4" s="178">
        <v>837.64</v>
      </c>
      <c r="E4" s="178">
        <v>240.87</v>
      </c>
      <c r="F4" s="178">
        <v>2755</v>
      </c>
    </row>
    <row r="5" spans="1:6" ht="18.5" x14ac:dyDescent="0.45">
      <c r="A5" s="176" t="s">
        <v>242</v>
      </c>
      <c r="B5" s="178">
        <v>7073.89</v>
      </c>
      <c r="C5" s="178">
        <v>1668.51</v>
      </c>
      <c r="D5" s="178">
        <v>861.82</v>
      </c>
      <c r="E5" s="178">
        <v>247</v>
      </c>
      <c r="F5" s="179">
        <v>2600</v>
      </c>
    </row>
    <row r="6" spans="1:6" ht="18.5" x14ac:dyDescent="0.45">
      <c r="A6" s="175"/>
      <c r="B6" s="185">
        <f>B5-B4</f>
        <v>93.490000000000691</v>
      </c>
      <c r="C6" s="185">
        <f t="shared" ref="C6:F6" si="0">C5-C4</f>
        <v>33.8900000000001</v>
      </c>
      <c r="D6" s="185">
        <f t="shared" si="0"/>
        <v>24.180000000000064</v>
      </c>
      <c r="E6" s="185">
        <f t="shared" si="0"/>
        <v>6.1299999999999955</v>
      </c>
      <c r="F6" s="185">
        <f t="shared" si="0"/>
        <v>-155</v>
      </c>
    </row>
    <row r="7" spans="1:6" ht="18.5" x14ac:dyDescent="0.45">
      <c r="A7" s="175"/>
      <c r="B7" s="186">
        <f>B6/B4</f>
        <v>1.3393215288522248E-2</v>
      </c>
      <c r="C7" s="186">
        <f t="shared" ref="C7:F7" si="1">C6/C4</f>
        <v>2.0732647343113447E-2</v>
      </c>
      <c r="D7" s="186">
        <f t="shared" si="1"/>
        <v>2.8866816293395808E-2</v>
      </c>
      <c r="E7" s="186">
        <f t="shared" si="1"/>
        <v>2.5449412546186722E-2</v>
      </c>
      <c r="F7" s="186">
        <f t="shared" si="1"/>
        <v>-5.6261343012704176E-2</v>
      </c>
    </row>
    <row r="8" spans="1:6" ht="18.5" x14ac:dyDescent="0.45">
      <c r="A8" s="176" t="s">
        <v>243</v>
      </c>
      <c r="B8" s="180">
        <f>B5-B4</f>
        <v>93.490000000000691</v>
      </c>
      <c r="C8" s="180">
        <f t="shared" ref="C8:E8" si="2">C5-C4</f>
        <v>33.8900000000001</v>
      </c>
      <c r="D8" s="180">
        <f t="shared" si="2"/>
        <v>24.180000000000064</v>
      </c>
      <c r="E8" s="180">
        <f t="shared" si="2"/>
        <v>6.1299999999999955</v>
      </c>
      <c r="F8" s="175"/>
    </row>
    <row r="9" spans="1:6" ht="18.5" x14ac:dyDescent="0.45">
      <c r="A9" s="176" t="s">
        <v>244</v>
      </c>
      <c r="B9" s="181">
        <f>B8/B4</f>
        <v>1.3393215288522248E-2</v>
      </c>
      <c r="C9" s="181">
        <f t="shared" ref="C9:E9" si="3">C8/C4</f>
        <v>2.0732647343113447E-2</v>
      </c>
      <c r="D9" s="181">
        <f t="shared" si="3"/>
        <v>2.8866816293395808E-2</v>
      </c>
      <c r="E9" s="181">
        <f t="shared" si="3"/>
        <v>2.5449412546186722E-2</v>
      </c>
      <c r="F9" s="175"/>
    </row>
    <row r="10" spans="1:6" ht="18.5" x14ac:dyDescent="0.45">
      <c r="A10" s="175"/>
      <c r="B10" s="175"/>
      <c r="C10" s="175"/>
      <c r="D10" s="175"/>
      <c r="E10" s="175"/>
      <c r="F10" s="175"/>
    </row>
    <row r="11" spans="1:6" ht="18.5" x14ac:dyDescent="0.45">
      <c r="A11" s="176" t="s">
        <v>245</v>
      </c>
      <c r="B11" s="178">
        <f>B5*1.02</f>
        <v>7215.3678000000009</v>
      </c>
      <c r="C11" s="178">
        <f>B11*0.235</f>
        <v>1695.611433</v>
      </c>
      <c r="D11" s="178">
        <f>B11*0.12</f>
        <v>865.84413600000005</v>
      </c>
      <c r="E11" s="178">
        <f>B11*0.035</f>
        <v>252.53787300000005</v>
      </c>
      <c r="F11" s="179">
        <v>2500</v>
      </c>
    </row>
    <row r="12" spans="1:6" x14ac:dyDescent="0.35">
      <c r="A12" s="182" t="s">
        <v>243</v>
      </c>
      <c r="B12" s="183">
        <f>B11-B5</f>
        <v>141.47780000000057</v>
      </c>
      <c r="C12" s="183">
        <f t="shared" ref="C12:E12" si="4">C11-C5</f>
        <v>27.101433000000043</v>
      </c>
      <c r="D12" s="183">
        <f t="shared" si="4"/>
        <v>4.0241359999999986</v>
      </c>
      <c r="E12" s="183">
        <f t="shared" si="4"/>
        <v>5.5378730000000473</v>
      </c>
    </row>
    <row r="13" spans="1:6" x14ac:dyDescent="0.35">
      <c r="A13" s="182" t="s">
        <v>244</v>
      </c>
      <c r="B13" s="184">
        <f>B12/B5</f>
        <v>2.000000000000008E-2</v>
      </c>
      <c r="C13" s="184">
        <f t="shared" ref="C13:E13" si="5">C12/C5</f>
        <v>1.6242895157955326E-2</v>
      </c>
      <c r="D13" s="184">
        <f t="shared" si="5"/>
        <v>4.6693462672019658E-3</v>
      </c>
      <c r="E13" s="184">
        <f t="shared" si="5"/>
        <v>2.2420538461538655E-2</v>
      </c>
    </row>
    <row r="16" spans="1:6" ht="18.5" x14ac:dyDescent="0.45">
      <c r="A16" s="176" t="s">
        <v>246</v>
      </c>
      <c r="B16" s="178">
        <f>B11*1.013</f>
        <v>7309.1675814</v>
      </c>
      <c r="C16" s="178">
        <f>B16*0.235</f>
        <v>1717.654381629</v>
      </c>
      <c r="D16" s="178">
        <f>B16*0.12</f>
        <v>877.10010976799992</v>
      </c>
      <c r="E16" s="178">
        <f>B16*0.035</f>
        <v>255.82086534900003</v>
      </c>
      <c r="F16" s="179">
        <v>2500</v>
      </c>
    </row>
    <row r="17" spans="1:6" x14ac:dyDescent="0.35">
      <c r="A17" s="182" t="s">
        <v>243</v>
      </c>
      <c r="B17" s="183">
        <f>B16-B11</f>
        <v>93.799781399999119</v>
      </c>
      <c r="C17" s="183">
        <f t="shared" ref="C17:E17" si="6">C16-C11</f>
        <v>22.042948628999966</v>
      </c>
      <c r="D17" s="183">
        <f t="shared" si="6"/>
        <v>11.255973767999876</v>
      </c>
      <c r="E17" s="183">
        <f t="shared" si="6"/>
        <v>3.2829923489999828</v>
      </c>
    </row>
    <row r="18" spans="1:6" x14ac:dyDescent="0.35">
      <c r="A18" s="182" t="s">
        <v>244</v>
      </c>
      <c r="B18" s="184">
        <f>B17/B11</f>
        <v>1.2999999999999876E-2</v>
      </c>
      <c r="C18" s="184">
        <f t="shared" ref="C18:E18" si="7">C17/C11</f>
        <v>1.299999999999998E-2</v>
      </c>
      <c r="D18" s="184">
        <f t="shared" si="7"/>
        <v>1.2999999999999855E-2</v>
      </c>
      <c r="E18" s="184">
        <f t="shared" si="7"/>
        <v>1.299999999999993E-2</v>
      </c>
    </row>
    <row r="21" spans="1:6" ht="18.5" x14ac:dyDescent="0.45">
      <c r="A21" s="176" t="s">
        <v>247</v>
      </c>
      <c r="B21" s="178">
        <f>B16*1.013</f>
        <v>7404.1867599581992</v>
      </c>
      <c r="C21" s="178">
        <f>B21*0.235</f>
        <v>1739.9838885901768</v>
      </c>
      <c r="D21" s="178">
        <f>B21*0.12</f>
        <v>888.50241119498389</v>
      </c>
      <c r="E21" s="178">
        <f>B21*0.035</f>
        <v>259.14653659853701</v>
      </c>
      <c r="F21" s="179">
        <v>2550</v>
      </c>
    </row>
    <row r="22" spans="1:6" x14ac:dyDescent="0.35">
      <c r="A22" s="182" t="s">
        <v>243</v>
      </c>
      <c r="B22" s="183">
        <f>B21-B16</f>
        <v>95.019178558199201</v>
      </c>
      <c r="C22" s="183">
        <f t="shared" ref="C22:E22" si="8">C21-C16</f>
        <v>22.329506961176776</v>
      </c>
      <c r="D22" s="183">
        <f t="shared" si="8"/>
        <v>11.402301426983968</v>
      </c>
      <c r="E22" s="183">
        <f t="shared" si="8"/>
        <v>3.3256712495369811</v>
      </c>
    </row>
    <row r="23" spans="1:6" x14ac:dyDescent="0.35">
      <c r="A23" s="182" t="s">
        <v>244</v>
      </c>
      <c r="B23" s="184">
        <f>B22/B16</f>
        <v>1.299999999999989E-2</v>
      </c>
      <c r="C23" s="184">
        <f t="shared" ref="C23:E23" si="9">C22/C16</f>
        <v>1.2999999999999869E-2</v>
      </c>
      <c r="D23" s="184">
        <f t="shared" si="9"/>
        <v>1.2999999999999965E-2</v>
      </c>
      <c r="E23" s="184">
        <f t="shared" si="9"/>
        <v>1.2999999999999925E-2</v>
      </c>
    </row>
    <row r="26" spans="1:6" ht="18.5" x14ac:dyDescent="0.45">
      <c r="A26" s="176" t="s">
        <v>248</v>
      </c>
      <c r="B26" s="178">
        <f>B21*1.013</f>
        <v>7500.441187837655</v>
      </c>
      <c r="C26" s="178">
        <f>B26*0.235</f>
        <v>1762.6036791418487</v>
      </c>
      <c r="D26" s="178">
        <f>B26*0.12</f>
        <v>900.05294254051853</v>
      </c>
      <c r="E26" s="178">
        <f>B26*0.035</f>
        <v>262.51544157431795</v>
      </c>
      <c r="F26" s="179">
        <v>2600</v>
      </c>
    </row>
    <row r="27" spans="1:6" x14ac:dyDescent="0.35">
      <c r="A27" s="182" t="s">
        <v>243</v>
      </c>
      <c r="B27" s="183">
        <f>B26-B21</f>
        <v>96.254427879455761</v>
      </c>
      <c r="C27" s="183">
        <f t="shared" ref="C27:E27" si="10">C26-C21</f>
        <v>22.61979055167194</v>
      </c>
      <c r="D27" s="183">
        <f t="shared" si="10"/>
        <v>11.550531345534637</v>
      </c>
      <c r="E27" s="183">
        <f t="shared" si="10"/>
        <v>3.3689049757809357</v>
      </c>
    </row>
    <row r="28" spans="1:6" x14ac:dyDescent="0.35">
      <c r="A28" s="182" t="s">
        <v>244</v>
      </c>
      <c r="B28" s="184">
        <f>B27/B21</f>
        <v>1.2999999999999888E-2</v>
      </c>
      <c r="C28" s="184">
        <f t="shared" ref="C28:E28" si="11">C27/C21</f>
        <v>1.2999999999999795E-2</v>
      </c>
      <c r="D28" s="184">
        <f t="shared" si="11"/>
        <v>1.2999999999999828E-2</v>
      </c>
      <c r="E28" s="184">
        <f t="shared" si="11"/>
        <v>1.2999999999999824E-2</v>
      </c>
    </row>
  </sheetData>
  <mergeCells count="2">
    <mergeCell ref="A1:F1"/>
    <mergeCell ref="B2:F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topLeftCell="A4" zoomScale="75" zoomScaleNormal="75" workbookViewId="0">
      <selection activeCell="N40" sqref="N40"/>
    </sheetView>
  </sheetViews>
  <sheetFormatPr defaultRowHeight="14.5" x14ac:dyDescent="0.35"/>
  <cols>
    <col min="2" max="2" width="21.81640625" customWidth="1"/>
    <col min="3" max="4" width="14.36328125" bestFit="1" customWidth="1"/>
    <col min="5" max="7" width="12.08984375" bestFit="1" customWidth="1"/>
    <col min="8" max="8" width="13.54296875" bestFit="1" customWidth="1"/>
    <col min="9" max="9" width="12.08984375" bestFit="1" customWidth="1"/>
    <col min="10" max="10" width="11" bestFit="1" customWidth="1"/>
    <col min="11" max="13" width="11" customWidth="1"/>
    <col min="14" max="14" width="16.1796875" customWidth="1"/>
    <col min="15" max="15" width="12.1796875" bestFit="1" customWidth="1"/>
  </cols>
  <sheetData>
    <row r="2" spans="2:15" ht="15.5" x14ac:dyDescent="0.35">
      <c r="B2" s="139"/>
      <c r="C2" s="139"/>
      <c r="D2" s="139"/>
      <c r="E2" s="139"/>
      <c r="F2" s="139"/>
      <c r="G2" s="199"/>
      <c r="H2" s="199" t="s">
        <v>259</v>
      </c>
      <c r="I2" s="199" t="s">
        <v>260</v>
      </c>
      <c r="J2" s="199" t="s">
        <v>261</v>
      </c>
      <c r="K2" s="199" t="s">
        <v>262</v>
      </c>
      <c r="L2" s="199" t="s">
        <v>265</v>
      </c>
      <c r="M2" s="139"/>
      <c r="N2" s="139"/>
      <c r="O2" s="139"/>
    </row>
    <row r="3" spans="2:15" ht="15.5" x14ac:dyDescent="0.35">
      <c r="B3" s="139"/>
      <c r="C3" s="138" t="s">
        <v>163</v>
      </c>
      <c r="D3" s="138" t="s">
        <v>164</v>
      </c>
      <c r="E3" s="138" t="s">
        <v>165</v>
      </c>
      <c r="F3" s="138" t="s">
        <v>166</v>
      </c>
      <c r="G3" s="138" t="s">
        <v>167</v>
      </c>
      <c r="H3" s="138" t="s">
        <v>200</v>
      </c>
      <c r="I3" s="138" t="s">
        <v>199</v>
      </c>
      <c r="J3" s="138" t="s">
        <v>198</v>
      </c>
      <c r="K3" s="138" t="s">
        <v>253</v>
      </c>
      <c r="L3" s="138" t="s">
        <v>254</v>
      </c>
      <c r="M3" s="138" t="s">
        <v>255</v>
      </c>
      <c r="N3" s="139"/>
      <c r="O3" s="139"/>
    </row>
    <row r="4" spans="2:15" ht="15.5" x14ac:dyDescent="0.35">
      <c r="B4" s="142" t="s">
        <v>203</v>
      </c>
      <c r="C4" s="161"/>
      <c r="D4" s="161"/>
      <c r="E4" s="161"/>
      <c r="F4" s="161">
        <f>890-814</f>
        <v>76</v>
      </c>
      <c r="G4" s="161"/>
      <c r="H4" s="161"/>
      <c r="I4" s="161"/>
      <c r="J4" s="161"/>
      <c r="K4" s="161"/>
      <c r="L4" s="161"/>
      <c r="M4" s="161"/>
      <c r="N4" s="139"/>
      <c r="O4" s="139"/>
    </row>
    <row r="5" spans="2:15" ht="30.5" x14ac:dyDescent="0.35">
      <c r="B5" s="141" t="s">
        <v>202</v>
      </c>
      <c r="C5" s="162">
        <v>139412</v>
      </c>
      <c r="D5" s="162">
        <v>598718</v>
      </c>
      <c r="E5" s="163">
        <v>172536</v>
      </c>
      <c r="F5" s="163">
        <v>63953</v>
      </c>
      <c r="G5" s="197">
        <v>0</v>
      </c>
      <c r="H5" s="164">
        <v>350000</v>
      </c>
      <c r="I5" s="164">
        <v>0</v>
      </c>
      <c r="J5" s="164">
        <v>0</v>
      </c>
      <c r="K5" s="164">
        <v>0</v>
      </c>
      <c r="L5" s="164">
        <v>350000</v>
      </c>
      <c r="M5" s="164"/>
      <c r="N5" s="139"/>
      <c r="O5" s="139"/>
    </row>
    <row r="6" spans="2:15" ht="15.5" x14ac:dyDescent="0.35">
      <c r="B6" s="140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39"/>
      <c r="O6" s="139"/>
    </row>
    <row r="7" spans="2:15" ht="15.5" x14ac:dyDescent="0.35">
      <c r="B7" s="136" t="s">
        <v>201</v>
      </c>
      <c r="C7" s="138" t="s">
        <v>163</v>
      </c>
      <c r="D7" s="138" t="s">
        <v>164</v>
      </c>
      <c r="E7" s="138" t="s">
        <v>165</v>
      </c>
      <c r="F7" s="138" t="s">
        <v>167</v>
      </c>
      <c r="G7" s="138" t="s">
        <v>167</v>
      </c>
      <c r="H7" s="138" t="s">
        <v>200</v>
      </c>
      <c r="I7" s="138" t="s">
        <v>199</v>
      </c>
      <c r="J7" s="138" t="s">
        <v>198</v>
      </c>
      <c r="K7" s="138" t="s">
        <v>253</v>
      </c>
      <c r="L7" s="138" t="s">
        <v>254</v>
      </c>
      <c r="M7" s="138" t="s">
        <v>255</v>
      </c>
      <c r="N7" s="136" t="s">
        <v>197</v>
      </c>
      <c r="O7" s="136" t="s">
        <v>196</v>
      </c>
    </row>
    <row r="8" spans="2:15" ht="15.5" x14ac:dyDescent="0.35">
      <c r="B8" s="136">
        <v>2019</v>
      </c>
      <c r="C8" s="166">
        <f>3044*12</f>
        <v>36528</v>
      </c>
      <c r="D8" s="166">
        <f>13121*5</f>
        <v>65605</v>
      </c>
      <c r="E8" s="167"/>
      <c r="F8" s="167"/>
      <c r="G8" s="167"/>
      <c r="H8" s="167"/>
      <c r="I8" s="167"/>
      <c r="J8" s="167"/>
      <c r="K8" s="167"/>
      <c r="L8" s="167"/>
      <c r="M8" s="167"/>
      <c r="N8" s="135">
        <f>SUM(C8:M8)</f>
        <v>102133</v>
      </c>
      <c r="O8" s="137" t="s">
        <v>232</v>
      </c>
    </row>
    <row r="9" spans="2:15" ht="15.5" x14ac:dyDescent="0.35">
      <c r="B9" s="136">
        <v>2020</v>
      </c>
      <c r="C9" s="166">
        <f>3044*12</f>
        <v>36528</v>
      </c>
      <c r="D9" s="166">
        <f>13121*12</f>
        <v>157452</v>
      </c>
      <c r="E9" s="166">
        <f>3799*6</f>
        <v>22794</v>
      </c>
      <c r="F9" s="167"/>
      <c r="G9" s="167"/>
      <c r="H9" s="167"/>
      <c r="I9" s="167"/>
      <c r="J9" s="167"/>
      <c r="K9" s="167"/>
      <c r="L9" s="167"/>
      <c r="M9" s="167"/>
      <c r="N9" s="135">
        <f t="shared" ref="N9:N21" si="0">SUM(C9:M9)</f>
        <v>216774</v>
      </c>
      <c r="O9" s="137" t="s">
        <v>233</v>
      </c>
    </row>
    <row r="10" spans="2:15" ht="15.5" x14ac:dyDescent="0.35">
      <c r="B10" s="136">
        <v>2021</v>
      </c>
      <c r="C10" s="166">
        <f>3044*12</f>
        <v>36528</v>
      </c>
      <c r="D10" s="166">
        <f>13121*12</f>
        <v>157452</v>
      </c>
      <c r="E10" s="168">
        <f>3799*12</f>
        <v>45588</v>
      </c>
      <c r="F10" s="169"/>
      <c r="G10" s="169"/>
      <c r="H10" s="169"/>
      <c r="I10" s="169"/>
      <c r="J10" s="169"/>
      <c r="K10" s="169"/>
      <c r="L10" s="169"/>
      <c r="M10" s="169"/>
      <c r="N10" s="135">
        <f t="shared" si="0"/>
        <v>239568</v>
      </c>
      <c r="O10" s="137" t="s">
        <v>195</v>
      </c>
    </row>
    <row r="11" spans="2:15" ht="15.5" x14ac:dyDescent="0.35">
      <c r="B11" s="136">
        <v>2022</v>
      </c>
      <c r="C11" s="170">
        <f>(3044*6)+(C5*0.05)</f>
        <v>25234.6</v>
      </c>
      <c r="D11" s="166">
        <f>13121*12</f>
        <v>157452</v>
      </c>
      <c r="E11" s="168">
        <f t="shared" ref="E11:E12" si="1">3799*12</f>
        <v>45588</v>
      </c>
      <c r="F11" s="168">
        <f>1400*6</f>
        <v>8400</v>
      </c>
      <c r="G11" s="171">
        <v>0</v>
      </c>
      <c r="H11" s="169"/>
      <c r="I11" s="169"/>
      <c r="J11" s="169"/>
      <c r="K11" s="169"/>
      <c r="L11" s="169"/>
      <c r="M11" s="169"/>
      <c r="N11" s="135">
        <f t="shared" si="0"/>
        <v>236674.6</v>
      </c>
      <c r="O11" s="137" t="s">
        <v>194</v>
      </c>
    </row>
    <row r="12" spans="2:15" ht="15.5" x14ac:dyDescent="0.35">
      <c r="B12" s="136">
        <v>2023</v>
      </c>
      <c r="C12" s="172"/>
      <c r="D12" s="170">
        <f>(13121*7)+(D5*0.05)</f>
        <v>121782.9</v>
      </c>
      <c r="E12" s="168">
        <f t="shared" si="1"/>
        <v>45588</v>
      </c>
      <c r="F12" s="168">
        <f>1400*12</f>
        <v>16800</v>
      </c>
      <c r="G12" s="171">
        <v>0</v>
      </c>
      <c r="H12" s="171">
        <f>8065*6</f>
        <v>48390</v>
      </c>
      <c r="I12" s="169"/>
      <c r="J12" s="169"/>
      <c r="K12" s="169"/>
      <c r="L12" s="169"/>
      <c r="M12" s="169"/>
      <c r="N12" s="135">
        <f t="shared" si="0"/>
        <v>232560.9</v>
      </c>
      <c r="O12" s="137" t="s">
        <v>193</v>
      </c>
    </row>
    <row r="13" spans="2:15" ht="15.5" x14ac:dyDescent="0.35">
      <c r="B13" s="136">
        <v>2024</v>
      </c>
      <c r="C13" s="172"/>
      <c r="D13" s="172"/>
      <c r="E13" s="168">
        <f>(3799*6)+(E5*0.05)</f>
        <v>31420.800000000003</v>
      </c>
      <c r="F13" s="168">
        <f t="shared" ref="F13:F14" si="2">1400*12</f>
        <v>16800</v>
      </c>
      <c r="G13" s="171">
        <v>0</v>
      </c>
      <c r="H13" s="171">
        <f>8065*12</f>
        <v>96780</v>
      </c>
      <c r="I13" s="171">
        <v>0</v>
      </c>
      <c r="J13" s="169"/>
      <c r="K13" s="169"/>
      <c r="L13" s="169"/>
      <c r="M13" s="169"/>
      <c r="N13" s="135">
        <f t="shared" si="0"/>
        <v>145000.79999999999</v>
      </c>
      <c r="O13" s="137" t="s">
        <v>192</v>
      </c>
    </row>
    <row r="14" spans="2:15" ht="15.5" x14ac:dyDescent="0.35">
      <c r="B14" s="136">
        <v>2025</v>
      </c>
      <c r="C14" s="169"/>
      <c r="D14" s="169"/>
      <c r="E14" s="173"/>
      <c r="F14" s="168">
        <f t="shared" si="2"/>
        <v>16800</v>
      </c>
      <c r="G14" s="171">
        <v>0</v>
      </c>
      <c r="H14" s="171">
        <f t="shared" ref="H14:H15" si="3">8065*12</f>
        <v>96780</v>
      </c>
      <c r="I14" s="171">
        <v>0</v>
      </c>
      <c r="J14" s="171">
        <v>0</v>
      </c>
      <c r="K14" s="169"/>
      <c r="L14" s="169"/>
      <c r="M14" s="169"/>
      <c r="N14" s="135">
        <f t="shared" si="0"/>
        <v>113580</v>
      </c>
      <c r="O14" s="137" t="s">
        <v>191</v>
      </c>
    </row>
    <row r="15" spans="2:15" ht="15.5" x14ac:dyDescent="0.35">
      <c r="B15" s="136">
        <v>2026</v>
      </c>
      <c r="C15" s="169"/>
      <c r="D15" s="169"/>
      <c r="E15" s="169"/>
      <c r="F15" s="168">
        <f>(1400*6)+(F5*0.05)</f>
        <v>11597.65</v>
      </c>
      <c r="G15" s="171">
        <v>0</v>
      </c>
      <c r="H15" s="171">
        <f t="shared" si="3"/>
        <v>96780</v>
      </c>
      <c r="I15" s="171">
        <v>0</v>
      </c>
      <c r="J15" s="171">
        <v>0</v>
      </c>
      <c r="K15" s="171">
        <v>0</v>
      </c>
      <c r="L15" s="169"/>
      <c r="M15" s="169"/>
      <c r="N15" s="135">
        <f t="shared" si="0"/>
        <v>108377.65</v>
      </c>
      <c r="O15" s="137" t="s">
        <v>190</v>
      </c>
    </row>
    <row r="16" spans="2:15" ht="15.5" x14ac:dyDescent="0.35">
      <c r="B16" s="136">
        <v>2027</v>
      </c>
      <c r="C16" s="169"/>
      <c r="D16" s="169"/>
      <c r="E16" s="169"/>
      <c r="F16" s="169"/>
      <c r="G16" s="169"/>
      <c r="H16" s="171">
        <f>(8065*6)+(H5*0.05)</f>
        <v>65890</v>
      </c>
      <c r="I16" s="171">
        <v>0</v>
      </c>
      <c r="J16" s="171">
        <v>0</v>
      </c>
      <c r="K16" s="171">
        <v>0</v>
      </c>
      <c r="L16" s="171">
        <f>8065*6</f>
        <v>48390</v>
      </c>
      <c r="M16" s="169"/>
      <c r="N16" s="135">
        <f t="shared" si="0"/>
        <v>114280</v>
      </c>
      <c r="O16" s="137" t="s">
        <v>409</v>
      </c>
    </row>
    <row r="17" spans="2:15" ht="15.5" x14ac:dyDescent="0.35">
      <c r="B17" s="136">
        <v>2028</v>
      </c>
      <c r="C17" s="169"/>
      <c r="D17" s="169"/>
      <c r="E17" s="169"/>
      <c r="F17" s="169"/>
      <c r="G17" s="169"/>
      <c r="H17" s="169"/>
      <c r="I17" s="171">
        <v>0</v>
      </c>
      <c r="J17" s="171">
        <v>0</v>
      </c>
      <c r="K17" s="171">
        <v>0</v>
      </c>
      <c r="L17" s="171">
        <f>8065*12</f>
        <v>96780</v>
      </c>
      <c r="M17" s="171"/>
      <c r="N17" s="135">
        <f t="shared" si="0"/>
        <v>96780</v>
      </c>
      <c r="O17" s="137" t="s">
        <v>410</v>
      </c>
    </row>
    <row r="18" spans="2:15" ht="15.5" x14ac:dyDescent="0.35">
      <c r="B18" s="136">
        <v>2029</v>
      </c>
      <c r="C18" s="169"/>
      <c r="D18" s="169"/>
      <c r="E18" s="169"/>
      <c r="F18" s="169"/>
      <c r="G18" s="169"/>
      <c r="H18" s="169"/>
      <c r="I18" s="169"/>
      <c r="J18" s="171">
        <v>0</v>
      </c>
      <c r="K18" s="171">
        <v>0</v>
      </c>
      <c r="L18" s="171">
        <f t="shared" ref="L18:L19" si="4">8065*12</f>
        <v>96780</v>
      </c>
      <c r="M18" s="171"/>
      <c r="N18" s="135">
        <f t="shared" si="0"/>
        <v>96780</v>
      </c>
      <c r="O18" s="134"/>
    </row>
    <row r="19" spans="2:15" ht="15.5" x14ac:dyDescent="0.35">
      <c r="B19" s="136">
        <v>2030</v>
      </c>
      <c r="C19" s="169"/>
      <c r="D19" s="169"/>
      <c r="E19" s="169"/>
      <c r="F19" s="169"/>
      <c r="G19" s="169"/>
      <c r="H19" s="169"/>
      <c r="I19" s="169"/>
      <c r="J19" s="169"/>
      <c r="K19" s="171">
        <v>0</v>
      </c>
      <c r="L19" s="171">
        <f t="shared" si="4"/>
        <v>96780</v>
      </c>
      <c r="M19" s="171"/>
      <c r="N19" s="135">
        <f t="shared" si="0"/>
        <v>96780</v>
      </c>
      <c r="O19" s="134"/>
    </row>
    <row r="20" spans="2:15" ht="15.5" x14ac:dyDescent="0.35">
      <c r="B20" s="136">
        <v>2031</v>
      </c>
      <c r="C20" s="169"/>
      <c r="D20" s="169"/>
      <c r="E20" s="169"/>
      <c r="F20" s="169"/>
      <c r="G20" s="169"/>
      <c r="H20" s="169"/>
      <c r="I20" s="169"/>
      <c r="J20" s="200"/>
      <c r="K20" s="200"/>
      <c r="L20" s="171">
        <f>(8065*6)+(L5*0.05)</f>
        <v>65890</v>
      </c>
      <c r="M20" s="150"/>
      <c r="N20" s="135">
        <f t="shared" si="0"/>
        <v>65890</v>
      </c>
      <c r="O20" s="134"/>
    </row>
    <row r="21" spans="2:15" ht="15.5" x14ac:dyDescent="0.35">
      <c r="B21" s="136">
        <v>2032</v>
      </c>
      <c r="C21" s="169"/>
      <c r="D21" s="169"/>
      <c r="E21" s="169"/>
      <c r="F21" s="169"/>
      <c r="G21" s="169"/>
      <c r="H21" s="169"/>
      <c r="I21" s="169"/>
      <c r="J21" s="200"/>
      <c r="K21" s="200"/>
      <c r="L21" s="200"/>
      <c r="M21" s="150"/>
      <c r="N21" s="135">
        <f t="shared" si="0"/>
        <v>0</v>
      </c>
      <c r="O21" s="134"/>
    </row>
    <row r="22" spans="2:15" ht="15.5" x14ac:dyDescent="0.35">
      <c r="B22" s="136">
        <v>2033</v>
      </c>
      <c r="C22" s="169"/>
      <c r="D22" s="169"/>
      <c r="E22" s="169"/>
      <c r="F22" s="169"/>
      <c r="G22" s="169"/>
      <c r="H22" s="169"/>
      <c r="I22" s="169"/>
      <c r="J22" s="200"/>
      <c r="K22" s="200"/>
      <c r="L22" s="200"/>
      <c r="M22" s="200"/>
      <c r="N22" s="135">
        <f t="shared" ref="N22:N24" si="5">SUM(C22:M22)</f>
        <v>0</v>
      </c>
      <c r="O22" s="134"/>
    </row>
    <row r="23" spans="2:15" ht="15.5" x14ac:dyDescent="0.35">
      <c r="B23" s="136">
        <v>2034</v>
      </c>
      <c r="C23" s="169"/>
      <c r="D23" s="169"/>
      <c r="E23" s="169"/>
      <c r="F23" s="169"/>
      <c r="G23" s="169"/>
      <c r="H23" s="169"/>
      <c r="I23" s="169"/>
      <c r="J23" s="200"/>
      <c r="K23" s="200"/>
      <c r="L23" s="200"/>
      <c r="M23" s="200"/>
      <c r="N23" s="135">
        <f t="shared" si="5"/>
        <v>0</v>
      </c>
      <c r="O23" s="134"/>
    </row>
    <row r="24" spans="2:15" ht="15.5" x14ac:dyDescent="0.35">
      <c r="B24" s="136">
        <v>2035</v>
      </c>
      <c r="C24" s="169"/>
      <c r="D24" s="169"/>
      <c r="E24" s="169"/>
      <c r="F24" s="169"/>
      <c r="G24" s="169"/>
      <c r="H24" s="169"/>
      <c r="I24" s="169"/>
      <c r="J24" s="200"/>
      <c r="K24" s="200"/>
      <c r="L24" s="200"/>
      <c r="M24" s="200"/>
      <c r="N24" s="135">
        <f t="shared" si="5"/>
        <v>0</v>
      </c>
      <c r="O24" s="134"/>
    </row>
    <row r="25" spans="2:15" s="195" customFormat="1" ht="15.5" x14ac:dyDescent="0.35"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194"/>
    </row>
    <row r="26" spans="2:15" s="195" customFormat="1" ht="15.5" x14ac:dyDescent="0.35"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/>
      <c r="O26" s="194"/>
    </row>
    <row r="28" spans="2:15" ht="15.5" x14ac:dyDescent="0.35">
      <c r="B28" s="139"/>
      <c r="C28" s="138" t="s">
        <v>163</v>
      </c>
      <c r="D28" s="138" t="s">
        <v>164</v>
      </c>
      <c r="E28" s="138" t="s">
        <v>165</v>
      </c>
      <c r="F28" s="138" t="s">
        <v>166</v>
      </c>
      <c r="G28" s="138" t="s">
        <v>167</v>
      </c>
      <c r="H28" s="138" t="s">
        <v>200</v>
      </c>
      <c r="I28" s="138" t="s">
        <v>199</v>
      </c>
      <c r="J28" s="138" t="s">
        <v>198</v>
      </c>
      <c r="K28" s="138" t="s">
        <v>253</v>
      </c>
      <c r="L28" s="138" t="s">
        <v>254</v>
      </c>
      <c r="M28" s="138" t="s">
        <v>255</v>
      </c>
      <c r="N28" s="139"/>
      <c r="O28" s="139"/>
    </row>
    <row r="29" spans="2:15" ht="15.5" x14ac:dyDescent="0.35">
      <c r="B29" s="142" t="s">
        <v>203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39"/>
      <c r="O29" s="139"/>
    </row>
    <row r="30" spans="2:15" ht="30.5" x14ac:dyDescent="0.35">
      <c r="B30" s="141" t="s">
        <v>202</v>
      </c>
      <c r="C30" s="196">
        <v>0</v>
      </c>
      <c r="D30" s="196">
        <v>0</v>
      </c>
      <c r="E30" s="197">
        <v>0</v>
      </c>
      <c r="F30" s="197">
        <v>0</v>
      </c>
      <c r="G30" s="197">
        <v>0</v>
      </c>
      <c r="I30" s="164">
        <v>550000</v>
      </c>
      <c r="J30" s="164">
        <v>175000</v>
      </c>
      <c r="K30" s="164">
        <v>150000</v>
      </c>
      <c r="L30" s="164">
        <v>35000</v>
      </c>
      <c r="M30" s="164"/>
      <c r="N30" s="139"/>
      <c r="O30" s="139"/>
    </row>
    <row r="31" spans="2:15" ht="15.5" x14ac:dyDescent="0.35">
      <c r="B31" s="140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39"/>
      <c r="O31" s="139"/>
    </row>
    <row r="32" spans="2:15" ht="15.5" x14ac:dyDescent="0.35">
      <c r="B32" s="136" t="s">
        <v>201</v>
      </c>
      <c r="C32" s="138" t="s">
        <v>163</v>
      </c>
      <c r="D32" s="138" t="s">
        <v>164</v>
      </c>
      <c r="E32" s="138" t="s">
        <v>165</v>
      </c>
      <c r="F32" s="138" t="s">
        <v>167</v>
      </c>
      <c r="G32" s="138" t="s">
        <v>167</v>
      </c>
      <c r="H32" s="138" t="s">
        <v>200</v>
      </c>
      <c r="I32" s="138" t="s">
        <v>199</v>
      </c>
      <c r="J32" s="138" t="s">
        <v>198</v>
      </c>
      <c r="K32" s="138" t="s">
        <v>253</v>
      </c>
      <c r="L32" s="138" t="s">
        <v>254</v>
      </c>
      <c r="M32" s="138" t="s">
        <v>255</v>
      </c>
      <c r="N32" s="136" t="s">
        <v>197</v>
      </c>
      <c r="O32" s="136" t="s">
        <v>196</v>
      </c>
    </row>
    <row r="33" spans="2:15" ht="15.5" x14ac:dyDescent="0.35">
      <c r="B33" s="136">
        <v>2019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35">
        <f>SUM(C33:M33)</f>
        <v>0</v>
      </c>
      <c r="O33" s="137" t="s">
        <v>232</v>
      </c>
    </row>
    <row r="34" spans="2:15" ht="15.5" x14ac:dyDescent="0.35">
      <c r="B34" s="136">
        <v>2020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35">
        <f t="shared" ref="N34:N44" si="6">SUM(C34:M34)</f>
        <v>0</v>
      </c>
      <c r="O34" s="137" t="s">
        <v>233</v>
      </c>
    </row>
    <row r="35" spans="2:15" ht="15.5" x14ac:dyDescent="0.35">
      <c r="B35" s="136">
        <v>2021</v>
      </c>
      <c r="C35" s="167"/>
      <c r="D35" s="167"/>
      <c r="E35" s="169"/>
      <c r="F35" s="169"/>
      <c r="G35" s="169"/>
      <c r="H35" s="169"/>
      <c r="I35" s="169"/>
      <c r="J35" s="169"/>
      <c r="K35" s="169"/>
      <c r="L35" s="169"/>
      <c r="M35" s="169"/>
      <c r="N35" s="135">
        <f t="shared" si="6"/>
        <v>0</v>
      </c>
      <c r="O35" s="137" t="s">
        <v>195</v>
      </c>
    </row>
    <row r="36" spans="2:15" ht="15.5" x14ac:dyDescent="0.35">
      <c r="B36" s="136">
        <v>2022</v>
      </c>
      <c r="C36" s="172"/>
      <c r="D36" s="167"/>
      <c r="E36" s="169"/>
      <c r="F36" s="169"/>
      <c r="G36" s="169"/>
      <c r="H36" s="169"/>
      <c r="I36" s="169"/>
      <c r="J36" s="169"/>
      <c r="K36" s="169"/>
      <c r="L36" s="169"/>
      <c r="M36" s="169"/>
      <c r="N36" s="135">
        <f t="shared" si="6"/>
        <v>0</v>
      </c>
      <c r="O36" s="137" t="s">
        <v>194</v>
      </c>
    </row>
    <row r="37" spans="2:15" ht="15.5" x14ac:dyDescent="0.35">
      <c r="B37" s="136">
        <v>2023</v>
      </c>
      <c r="C37" s="172"/>
      <c r="D37" s="172"/>
      <c r="E37" s="169"/>
      <c r="F37" s="169"/>
      <c r="G37" s="169"/>
      <c r="H37" s="169"/>
      <c r="I37" s="169"/>
      <c r="J37" s="169"/>
      <c r="K37" s="169"/>
      <c r="L37" s="169"/>
      <c r="M37" s="169"/>
      <c r="N37" s="135">
        <f t="shared" si="6"/>
        <v>0</v>
      </c>
      <c r="O37" s="137" t="s">
        <v>193</v>
      </c>
    </row>
    <row r="38" spans="2:15" ht="15.5" x14ac:dyDescent="0.35">
      <c r="B38" s="136">
        <v>2024</v>
      </c>
      <c r="C38" s="172"/>
      <c r="D38" s="172"/>
      <c r="E38" s="169"/>
      <c r="F38" s="169"/>
      <c r="G38" s="169"/>
      <c r="H38" s="169"/>
      <c r="I38" s="171">
        <f>12670*6</f>
        <v>76020</v>
      </c>
      <c r="J38" s="169"/>
      <c r="K38" s="169"/>
      <c r="L38" s="169"/>
      <c r="M38" s="169"/>
      <c r="N38" s="135">
        <f t="shared" si="6"/>
        <v>76020</v>
      </c>
      <c r="O38" s="137" t="s">
        <v>192</v>
      </c>
    </row>
    <row r="39" spans="2:15" ht="15.5" x14ac:dyDescent="0.35">
      <c r="B39" s="136">
        <v>2025</v>
      </c>
      <c r="C39" s="169"/>
      <c r="D39" s="169"/>
      <c r="E39" s="173"/>
      <c r="F39" s="169"/>
      <c r="G39" s="169"/>
      <c r="H39" s="169"/>
      <c r="I39" s="171">
        <f>12670*12</f>
        <v>152040</v>
      </c>
      <c r="J39" s="171">
        <f>4030*6</f>
        <v>24180</v>
      </c>
      <c r="K39" s="169"/>
      <c r="L39" s="169"/>
      <c r="M39" s="171"/>
      <c r="N39" s="135">
        <f t="shared" si="6"/>
        <v>176220</v>
      </c>
      <c r="O39" s="137" t="s">
        <v>191</v>
      </c>
    </row>
    <row r="40" spans="2:15" ht="15.5" x14ac:dyDescent="0.35">
      <c r="B40" s="136">
        <v>2026</v>
      </c>
      <c r="C40" s="169"/>
      <c r="D40" s="169"/>
      <c r="E40" s="169"/>
      <c r="F40" s="169"/>
      <c r="G40" s="169"/>
      <c r="H40" s="169"/>
      <c r="I40" s="171">
        <f t="shared" ref="I40:I41" si="7">12670*12</f>
        <v>152040</v>
      </c>
      <c r="J40" s="171">
        <f>4030*12</f>
        <v>48360</v>
      </c>
      <c r="K40" s="171">
        <f>3455*6</f>
        <v>20730</v>
      </c>
      <c r="L40" s="169"/>
      <c r="M40" s="171"/>
      <c r="N40" s="135">
        <f t="shared" si="6"/>
        <v>221130</v>
      </c>
      <c r="O40" s="137" t="s">
        <v>190</v>
      </c>
    </row>
    <row r="41" spans="2:15" ht="15.5" x14ac:dyDescent="0.35">
      <c r="B41" s="136">
        <v>2027</v>
      </c>
      <c r="C41" s="169"/>
      <c r="D41" s="169"/>
      <c r="E41" s="169"/>
      <c r="F41" s="169"/>
      <c r="G41" s="169"/>
      <c r="H41" s="169"/>
      <c r="I41" s="171">
        <f t="shared" si="7"/>
        <v>152040</v>
      </c>
      <c r="J41" s="171">
        <f t="shared" ref="J41:J42" si="8">4030*12</f>
        <v>48360</v>
      </c>
      <c r="K41" s="171">
        <f>3455*12</f>
        <v>41460</v>
      </c>
      <c r="L41" s="171">
        <f>810*6</f>
        <v>4860</v>
      </c>
      <c r="M41" s="171"/>
      <c r="N41" s="135">
        <f t="shared" si="6"/>
        <v>246720</v>
      </c>
      <c r="O41" s="137" t="s">
        <v>409</v>
      </c>
    </row>
    <row r="42" spans="2:15" ht="15.5" x14ac:dyDescent="0.35">
      <c r="B42" s="136">
        <v>2028</v>
      </c>
      <c r="C42" s="169"/>
      <c r="D42" s="169"/>
      <c r="E42" s="169"/>
      <c r="F42" s="169"/>
      <c r="G42" s="169"/>
      <c r="H42" s="169"/>
      <c r="I42" s="171">
        <f>(12670*6)+(I30*0.05)</f>
        <v>103520</v>
      </c>
      <c r="J42" s="171">
        <f t="shared" si="8"/>
        <v>48360</v>
      </c>
      <c r="K42" s="171">
        <f t="shared" ref="K42:K43" si="9">3455*12</f>
        <v>41460</v>
      </c>
      <c r="L42" s="171">
        <f>810*12</f>
        <v>9720</v>
      </c>
      <c r="M42" s="171"/>
      <c r="N42" s="135">
        <f t="shared" si="6"/>
        <v>203060</v>
      </c>
      <c r="O42" s="137" t="s">
        <v>410</v>
      </c>
    </row>
    <row r="43" spans="2:15" ht="15.5" x14ac:dyDescent="0.35">
      <c r="B43" s="136">
        <v>2029</v>
      </c>
      <c r="C43" s="169"/>
      <c r="D43" s="169"/>
      <c r="E43" s="169"/>
      <c r="F43" s="169"/>
      <c r="G43" s="169"/>
      <c r="H43" s="169"/>
      <c r="I43" s="169"/>
      <c r="J43" s="171">
        <f>(4030*6)+(J30*0.05)</f>
        <v>32930</v>
      </c>
      <c r="K43" s="171">
        <f t="shared" si="9"/>
        <v>41460</v>
      </c>
      <c r="L43" s="171">
        <f t="shared" ref="L43:L44" si="10">810*12</f>
        <v>9720</v>
      </c>
      <c r="M43" s="171"/>
      <c r="N43" s="135">
        <f t="shared" si="6"/>
        <v>84110</v>
      </c>
      <c r="O43" s="134"/>
    </row>
    <row r="44" spans="2:15" ht="15.5" x14ac:dyDescent="0.35">
      <c r="B44" s="136">
        <v>2030</v>
      </c>
      <c r="C44" s="169"/>
      <c r="D44" s="169"/>
      <c r="E44" s="169"/>
      <c r="F44" s="169"/>
      <c r="G44" s="169"/>
      <c r="H44" s="169"/>
      <c r="I44" s="169"/>
      <c r="J44" s="169"/>
      <c r="K44" s="171">
        <f>(3455*6)+(K30*0.05)</f>
        <v>28230</v>
      </c>
      <c r="L44" s="171">
        <f t="shared" si="10"/>
        <v>9720</v>
      </c>
      <c r="M44" s="171"/>
      <c r="N44" s="135">
        <f t="shared" si="6"/>
        <v>37950</v>
      </c>
      <c r="O44" s="134"/>
    </row>
    <row r="45" spans="2:15" ht="15.5" x14ac:dyDescent="0.35">
      <c r="B45" s="136">
        <v>2031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71">
        <f>(810*6)+(L30*0.05)</f>
        <v>6610</v>
      </c>
      <c r="M45" s="150"/>
      <c r="N45" s="135">
        <f t="shared" ref="N45:N49" si="11">SUM(C45:M45)</f>
        <v>6610</v>
      </c>
      <c r="O45" s="134"/>
    </row>
    <row r="46" spans="2:15" ht="15.5" x14ac:dyDescent="0.35">
      <c r="B46" s="136">
        <v>2032</v>
      </c>
      <c r="C46" s="169"/>
      <c r="D46" s="169"/>
      <c r="E46" s="169"/>
      <c r="F46" s="169"/>
      <c r="G46" s="169"/>
      <c r="H46" s="169"/>
      <c r="I46" s="169"/>
      <c r="J46" s="200"/>
      <c r="K46" s="200"/>
      <c r="L46" s="200"/>
      <c r="M46" s="150"/>
      <c r="N46" s="135">
        <f t="shared" si="11"/>
        <v>0</v>
      </c>
      <c r="O46" s="134"/>
    </row>
    <row r="47" spans="2:15" ht="15.5" x14ac:dyDescent="0.35">
      <c r="B47" s="136">
        <v>2033</v>
      </c>
      <c r="C47" s="169"/>
      <c r="D47" s="169"/>
      <c r="E47" s="169"/>
      <c r="F47" s="169"/>
      <c r="G47" s="169"/>
      <c r="H47" s="169"/>
      <c r="I47" s="169"/>
      <c r="J47" s="200"/>
      <c r="K47" s="200"/>
      <c r="L47" s="200"/>
      <c r="M47" s="150"/>
      <c r="N47" s="135">
        <f t="shared" si="11"/>
        <v>0</v>
      </c>
      <c r="O47" s="134"/>
    </row>
    <row r="48" spans="2:15" ht="15.5" x14ac:dyDescent="0.35">
      <c r="B48" s="136">
        <v>2034</v>
      </c>
      <c r="C48" s="169"/>
      <c r="D48" s="169"/>
      <c r="E48" s="169"/>
      <c r="F48" s="169"/>
      <c r="G48" s="169"/>
      <c r="H48" s="169"/>
      <c r="I48" s="169"/>
      <c r="J48" s="200"/>
      <c r="K48" s="200"/>
      <c r="L48" s="200"/>
      <c r="M48" s="150"/>
      <c r="N48" s="135">
        <f t="shared" si="11"/>
        <v>0</v>
      </c>
      <c r="O48" s="134"/>
    </row>
    <row r="49" spans="2:15" ht="15.5" x14ac:dyDescent="0.35">
      <c r="B49" s="136">
        <v>2035</v>
      </c>
      <c r="C49" s="169"/>
      <c r="D49" s="169"/>
      <c r="E49" s="169"/>
      <c r="F49" s="169"/>
      <c r="G49" s="169"/>
      <c r="H49" s="169"/>
      <c r="I49" s="169"/>
      <c r="J49" s="200"/>
      <c r="K49" s="200"/>
      <c r="L49" s="200"/>
      <c r="M49" s="150"/>
      <c r="N49" s="135">
        <f t="shared" si="11"/>
        <v>0</v>
      </c>
      <c r="O49" s="1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V6" sqref="A6:V1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topLeftCell="A22" zoomScale="75" zoomScaleNormal="75" zoomScaleSheetLayoutView="70" workbookViewId="0">
      <selection activeCell="C15" sqref="C15"/>
    </sheetView>
  </sheetViews>
  <sheetFormatPr defaultColWidth="9.08984375" defaultRowHeight="12.5" x14ac:dyDescent="0.25"/>
  <cols>
    <col min="1" max="1" width="3" style="204" customWidth="1"/>
    <col min="2" max="2" width="9.08984375" style="204"/>
    <col min="3" max="8" width="10.08984375" style="204" customWidth="1"/>
    <col min="9" max="9" width="3.54296875" style="204" customWidth="1"/>
    <col min="10" max="16384" width="9.08984375" style="204"/>
  </cols>
  <sheetData>
    <row r="1" spans="1:13" ht="15.5" x14ac:dyDescent="0.35">
      <c r="A1" s="236" t="s">
        <v>282</v>
      </c>
      <c r="B1" s="236"/>
      <c r="C1" s="236"/>
    </row>
    <row r="2" spans="1:13" ht="15.5" x14ac:dyDescent="0.35">
      <c r="A2" s="235" t="s">
        <v>333</v>
      </c>
      <c r="B2" s="234"/>
      <c r="C2" s="234"/>
    </row>
    <row r="3" spans="1:13" ht="13" x14ac:dyDescent="0.3">
      <c r="A3" s="233" t="s">
        <v>281</v>
      </c>
    </row>
    <row r="4" spans="1:13" x14ac:dyDescent="0.25">
      <c r="A4" s="232" t="s">
        <v>280</v>
      </c>
    </row>
    <row r="5" spans="1:13" x14ac:dyDescent="0.25">
      <c r="A5" s="231" t="str">
        <f ca="1">CELL("filename")</f>
        <v>S:\School Growth &amp; Development\Active Projects or Drafts\Nevada\Doral Academy of Northern Nevada (DANN)\Charter Development\Amendment Applications\Attachments_Campus Exp\A6_School Budget\[6 - School Budget_v2.xlsx]5-Year DANN</v>
      </c>
    </row>
    <row r="6" spans="1:13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3" ht="14" x14ac:dyDescent="0.25">
      <c r="A7" s="214"/>
      <c r="B7" s="230" t="s">
        <v>279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1:13" ht="14" x14ac:dyDescent="0.25">
      <c r="A8" s="214"/>
      <c r="B8" s="230" t="s">
        <v>278</v>
      </c>
      <c r="C8" s="214"/>
      <c r="D8" s="214"/>
      <c r="E8" s="214"/>
      <c r="F8" s="214"/>
      <c r="G8" s="214"/>
      <c r="H8" s="214"/>
      <c r="I8" s="214"/>
      <c r="J8" s="214"/>
      <c r="K8" s="214"/>
    </row>
    <row r="9" spans="1:13" ht="14" x14ac:dyDescent="0.25">
      <c r="A9" s="214"/>
      <c r="B9" s="230"/>
      <c r="C9" s="214"/>
      <c r="D9" s="214"/>
      <c r="E9" s="214"/>
      <c r="F9" s="214"/>
      <c r="G9" s="214"/>
      <c r="H9" s="214"/>
      <c r="I9" s="214"/>
      <c r="J9" s="214"/>
      <c r="K9" s="214"/>
    </row>
    <row r="10" spans="1:13" ht="14" x14ac:dyDescent="0.3">
      <c r="A10" s="214"/>
      <c r="B10" s="225" t="s">
        <v>277</v>
      </c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3" ht="14" x14ac:dyDescent="0.3">
      <c r="A11" s="214"/>
      <c r="B11" s="229" t="s">
        <v>276</v>
      </c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3" ht="13" thickBot="1" x14ac:dyDescent="0.3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ht="14" x14ac:dyDescent="0.25">
      <c r="A13" s="214"/>
      <c r="B13" s="371" t="s">
        <v>271</v>
      </c>
      <c r="C13" s="374" t="s">
        <v>270</v>
      </c>
      <c r="D13" s="375"/>
      <c r="E13" s="375"/>
      <c r="F13" s="375"/>
      <c r="G13" s="375"/>
      <c r="H13" s="376"/>
      <c r="I13" s="214"/>
      <c r="J13" s="214"/>
      <c r="K13" s="214"/>
      <c r="L13" s="214"/>
      <c r="M13" s="214"/>
    </row>
    <row r="14" spans="1:13" ht="14" x14ac:dyDescent="0.25">
      <c r="A14" s="214"/>
      <c r="B14" s="372"/>
      <c r="C14" s="228">
        <v>2022</v>
      </c>
      <c r="D14" s="221">
        <f>+C15</f>
        <v>2023</v>
      </c>
      <c r="E14" s="221">
        <f>+D15</f>
        <v>2024</v>
      </c>
      <c r="F14" s="221">
        <f>+E15</f>
        <v>2025</v>
      </c>
      <c r="G14" s="221">
        <f>+F15</f>
        <v>2026</v>
      </c>
      <c r="H14" s="220">
        <f>+G15</f>
        <v>2027</v>
      </c>
      <c r="I14" s="214"/>
      <c r="J14" s="214"/>
      <c r="K14" s="214"/>
      <c r="L14" s="214"/>
      <c r="M14" s="214"/>
    </row>
    <row r="15" spans="1:13" ht="14.5" thickBot="1" x14ac:dyDescent="0.3">
      <c r="A15" s="214"/>
      <c r="B15" s="373"/>
      <c r="C15" s="219">
        <f t="shared" ref="C15:H15" si="0">+C14+1</f>
        <v>2023</v>
      </c>
      <c r="D15" s="218">
        <f t="shared" si="0"/>
        <v>2024</v>
      </c>
      <c r="E15" s="218">
        <f t="shared" si="0"/>
        <v>2025</v>
      </c>
      <c r="F15" s="218">
        <f t="shared" si="0"/>
        <v>2026</v>
      </c>
      <c r="G15" s="218">
        <f t="shared" si="0"/>
        <v>2027</v>
      </c>
      <c r="H15" s="217">
        <f t="shared" si="0"/>
        <v>2028</v>
      </c>
      <c r="I15" s="214"/>
      <c r="J15" s="214"/>
      <c r="K15" s="214"/>
      <c r="L15" s="214"/>
      <c r="M15" s="214"/>
    </row>
    <row r="16" spans="1:13" ht="14" x14ac:dyDescent="0.25">
      <c r="A16" s="214"/>
      <c r="B16" s="215" t="s">
        <v>269</v>
      </c>
      <c r="C16" s="216"/>
      <c r="D16" s="216"/>
      <c r="E16" s="216"/>
      <c r="F16" s="216"/>
      <c r="G16" s="216"/>
      <c r="H16" s="216"/>
      <c r="I16" s="214"/>
      <c r="J16" s="214"/>
      <c r="K16" s="214"/>
      <c r="L16" s="214"/>
      <c r="M16" s="214"/>
    </row>
    <row r="17" spans="1:14" ht="14" x14ac:dyDescent="0.25">
      <c r="A17" s="214"/>
      <c r="B17" s="215" t="s">
        <v>268</v>
      </c>
      <c r="C17" s="212">
        <f>ROUND(C38*0.97,0)</f>
        <v>0</v>
      </c>
      <c r="D17" s="212">
        <f t="shared" ref="D17:H17" si="1">ROUND(D38*0.97,0)</f>
        <v>97</v>
      </c>
      <c r="E17" s="212">
        <f t="shared" si="1"/>
        <v>97</v>
      </c>
      <c r="F17" s="212">
        <f t="shared" si="1"/>
        <v>97</v>
      </c>
      <c r="G17" s="212">
        <f t="shared" si="1"/>
        <v>97</v>
      </c>
      <c r="H17" s="212">
        <f t="shared" si="1"/>
        <v>97</v>
      </c>
      <c r="I17" s="214"/>
      <c r="J17" s="214"/>
      <c r="K17" s="214"/>
      <c r="L17" s="214"/>
      <c r="M17" s="214"/>
    </row>
    <row r="18" spans="1:14" ht="14" x14ac:dyDescent="0.25">
      <c r="A18" s="214"/>
      <c r="B18" s="211">
        <v>1</v>
      </c>
      <c r="C18" s="212">
        <f t="shared" ref="C18:H26" si="2">ROUND(C39*0.97,0)</f>
        <v>0</v>
      </c>
      <c r="D18" s="212">
        <f t="shared" si="2"/>
        <v>101</v>
      </c>
      <c r="E18" s="212">
        <f t="shared" si="2"/>
        <v>101</v>
      </c>
      <c r="F18" s="212">
        <f t="shared" si="2"/>
        <v>101</v>
      </c>
      <c r="G18" s="212">
        <f t="shared" si="2"/>
        <v>101</v>
      </c>
      <c r="H18" s="212">
        <f t="shared" si="2"/>
        <v>101</v>
      </c>
      <c r="I18" s="214"/>
      <c r="J18" s="214"/>
      <c r="K18" s="214"/>
      <c r="L18" s="214"/>
      <c r="M18" s="214"/>
    </row>
    <row r="19" spans="1:14" ht="14" x14ac:dyDescent="0.25">
      <c r="A19" s="214"/>
      <c r="B19" s="211">
        <v>2</v>
      </c>
      <c r="C19" s="212">
        <f t="shared" si="2"/>
        <v>0</v>
      </c>
      <c r="D19" s="212">
        <f t="shared" si="2"/>
        <v>101</v>
      </c>
      <c r="E19" s="212">
        <f t="shared" si="2"/>
        <v>101</v>
      </c>
      <c r="F19" s="212">
        <f t="shared" si="2"/>
        <v>101</v>
      </c>
      <c r="G19" s="212">
        <f t="shared" si="2"/>
        <v>101</v>
      </c>
      <c r="H19" s="212">
        <f t="shared" si="2"/>
        <v>101</v>
      </c>
      <c r="I19" s="214"/>
      <c r="J19" s="214"/>
      <c r="K19" s="214"/>
      <c r="L19" s="214"/>
      <c r="M19" s="214"/>
    </row>
    <row r="20" spans="1:14" ht="14" x14ac:dyDescent="0.25">
      <c r="A20" s="214"/>
      <c r="B20" s="211">
        <v>3</v>
      </c>
      <c r="C20" s="212">
        <f t="shared" si="2"/>
        <v>0</v>
      </c>
      <c r="D20" s="212">
        <f t="shared" si="2"/>
        <v>101</v>
      </c>
      <c r="E20" s="212">
        <f t="shared" si="2"/>
        <v>101</v>
      </c>
      <c r="F20" s="212">
        <f t="shared" si="2"/>
        <v>101</v>
      </c>
      <c r="G20" s="212">
        <f t="shared" si="2"/>
        <v>101</v>
      </c>
      <c r="H20" s="212">
        <f t="shared" si="2"/>
        <v>101</v>
      </c>
      <c r="I20" s="214"/>
      <c r="J20" s="214"/>
      <c r="K20" s="214"/>
      <c r="L20" s="214"/>
      <c r="M20" s="214"/>
    </row>
    <row r="21" spans="1:14" ht="14" x14ac:dyDescent="0.25">
      <c r="A21" s="214"/>
      <c r="B21" s="211">
        <v>4</v>
      </c>
      <c r="C21" s="212">
        <f t="shared" si="2"/>
        <v>0</v>
      </c>
      <c r="D21" s="212">
        <f t="shared" si="2"/>
        <v>76</v>
      </c>
      <c r="E21" s="212">
        <f t="shared" si="2"/>
        <v>101</v>
      </c>
      <c r="F21" s="212">
        <f t="shared" si="2"/>
        <v>101</v>
      </c>
      <c r="G21" s="212">
        <f t="shared" si="2"/>
        <v>101</v>
      </c>
      <c r="H21" s="212">
        <f t="shared" si="2"/>
        <v>101</v>
      </c>
      <c r="I21" s="214"/>
      <c r="J21" s="214"/>
      <c r="K21" s="214"/>
      <c r="L21" s="214"/>
      <c r="M21" s="214"/>
    </row>
    <row r="22" spans="1:14" ht="14" x14ac:dyDescent="0.25">
      <c r="A22" s="214"/>
      <c r="B22" s="211">
        <v>5</v>
      </c>
      <c r="C22" s="212">
        <f t="shared" si="2"/>
        <v>0</v>
      </c>
      <c r="D22" s="212">
        <f t="shared" si="2"/>
        <v>52</v>
      </c>
      <c r="E22" s="212">
        <f t="shared" si="2"/>
        <v>79</v>
      </c>
      <c r="F22" s="212">
        <f t="shared" si="2"/>
        <v>105</v>
      </c>
      <c r="G22" s="212">
        <f t="shared" si="2"/>
        <v>105</v>
      </c>
      <c r="H22" s="212">
        <f t="shared" si="2"/>
        <v>105</v>
      </c>
      <c r="I22" s="214"/>
      <c r="J22" s="214"/>
      <c r="K22" s="214"/>
      <c r="L22" s="214"/>
      <c r="M22" s="214"/>
    </row>
    <row r="23" spans="1:14" ht="14" x14ac:dyDescent="0.25">
      <c r="A23" s="214"/>
      <c r="B23" s="211">
        <v>6</v>
      </c>
      <c r="C23" s="212">
        <f t="shared" si="2"/>
        <v>0</v>
      </c>
      <c r="D23" s="212">
        <f t="shared" si="2"/>
        <v>0</v>
      </c>
      <c r="E23" s="212">
        <f t="shared" si="2"/>
        <v>120</v>
      </c>
      <c r="F23" s="212">
        <f t="shared" si="2"/>
        <v>120</v>
      </c>
      <c r="G23" s="212">
        <f t="shared" si="2"/>
        <v>120</v>
      </c>
      <c r="H23" s="212">
        <f t="shared" si="2"/>
        <v>120</v>
      </c>
      <c r="I23" s="214"/>
      <c r="J23" s="214"/>
      <c r="K23" s="214"/>
      <c r="L23" s="214"/>
      <c r="M23" s="214"/>
    </row>
    <row r="24" spans="1:14" ht="14" x14ac:dyDescent="0.25">
      <c r="A24" s="214"/>
      <c r="B24" s="211">
        <v>7</v>
      </c>
      <c r="C24" s="212">
        <f t="shared" si="2"/>
        <v>0</v>
      </c>
      <c r="D24" s="212">
        <f t="shared" si="2"/>
        <v>0</v>
      </c>
      <c r="E24" s="212">
        <f t="shared" si="2"/>
        <v>0</v>
      </c>
      <c r="F24" s="212">
        <f t="shared" si="2"/>
        <v>120</v>
      </c>
      <c r="G24" s="212">
        <f t="shared" si="2"/>
        <v>120</v>
      </c>
      <c r="H24" s="212">
        <f t="shared" si="2"/>
        <v>120</v>
      </c>
      <c r="I24" s="214"/>
      <c r="J24" s="214"/>
      <c r="K24" s="214"/>
      <c r="L24" s="214"/>
      <c r="M24" s="214"/>
    </row>
    <row r="25" spans="1:14" ht="14" x14ac:dyDescent="0.25">
      <c r="A25" s="214"/>
      <c r="B25" s="211">
        <v>8</v>
      </c>
      <c r="C25" s="212">
        <f t="shared" si="2"/>
        <v>0</v>
      </c>
      <c r="D25" s="212">
        <f t="shared" si="2"/>
        <v>0</v>
      </c>
      <c r="E25" s="212">
        <f t="shared" si="2"/>
        <v>0</v>
      </c>
      <c r="F25" s="212">
        <f t="shared" si="2"/>
        <v>0</v>
      </c>
      <c r="G25" s="212">
        <f t="shared" si="2"/>
        <v>120</v>
      </c>
      <c r="H25" s="212">
        <f t="shared" si="2"/>
        <v>120</v>
      </c>
      <c r="I25" s="214"/>
      <c r="J25" s="214"/>
      <c r="K25" s="214"/>
      <c r="L25" s="214"/>
      <c r="M25" s="214"/>
    </row>
    <row r="26" spans="1:14" ht="14" x14ac:dyDescent="0.25">
      <c r="A26" s="214"/>
      <c r="B26" s="211">
        <v>9</v>
      </c>
      <c r="C26" s="209">
        <f>ROUND(C47*0.97,0)</f>
        <v>0</v>
      </c>
      <c r="D26" s="209">
        <f t="shared" si="2"/>
        <v>0</v>
      </c>
      <c r="E26" s="209">
        <f t="shared" si="2"/>
        <v>0</v>
      </c>
      <c r="F26" s="209">
        <f t="shared" si="2"/>
        <v>0</v>
      </c>
      <c r="G26" s="209">
        <f t="shared" si="2"/>
        <v>0</v>
      </c>
      <c r="H26" s="209">
        <f t="shared" si="2"/>
        <v>0</v>
      </c>
      <c r="I26" s="214"/>
      <c r="J26" s="214"/>
      <c r="K26" s="214"/>
      <c r="L26" s="214"/>
      <c r="M26" s="214"/>
    </row>
    <row r="27" spans="1:14" ht="14" x14ac:dyDescent="0.25">
      <c r="A27" s="214"/>
      <c r="B27" s="211">
        <v>10</v>
      </c>
      <c r="C27" s="209">
        <f t="shared" ref="C27:H29" si="3">ROUND(C48*0.97,0)</f>
        <v>0</v>
      </c>
      <c r="D27" s="209">
        <f t="shared" si="3"/>
        <v>0</v>
      </c>
      <c r="E27" s="209">
        <f t="shared" si="3"/>
        <v>0</v>
      </c>
      <c r="F27" s="209">
        <f t="shared" si="3"/>
        <v>0</v>
      </c>
      <c r="G27" s="209">
        <f t="shared" si="3"/>
        <v>0</v>
      </c>
      <c r="H27" s="209">
        <f t="shared" si="3"/>
        <v>0</v>
      </c>
      <c r="I27" s="214"/>
      <c r="J27" s="214"/>
      <c r="K27" s="214"/>
      <c r="L27" s="214"/>
      <c r="M27" s="214"/>
    </row>
    <row r="28" spans="1:14" ht="14" x14ac:dyDescent="0.25">
      <c r="A28" s="214"/>
      <c r="B28" s="211">
        <v>11</v>
      </c>
      <c r="C28" s="209">
        <f t="shared" si="3"/>
        <v>0</v>
      </c>
      <c r="D28" s="209">
        <f t="shared" si="3"/>
        <v>0</v>
      </c>
      <c r="E28" s="209">
        <f t="shared" si="3"/>
        <v>0</v>
      </c>
      <c r="F28" s="209">
        <f t="shared" si="3"/>
        <v>0</v>
      </c>
      <c r="G28" s="209">
        <f t="shared" si="3"/>
        <v>0</v>
      </c>
      <c r="H28" s="209">
        <f t="shared" si="3"/>
        <v>0</v>
      </c>
      <c r="I28" s="214"/>
      <c r="J28" s="214"/>
      <c r="K28" s="214"/>
      <c r="L28" s="214"/>
      <c r="M28" s="214"/>
    </row>
    <row r="29" spans="1:14" ht="14" x14ac:dyDescent="0.25">
      <c r="A29" s="214"/>
      <c r="B29" s="210">
        <v>12</v>
      </c>
      <c r="C29" s="209">
        <f t="shared" si="3"/>
        <v>0</v>
      </c>
      <c r="D29" s="209">
        <f t="shared" si="3"/>
        <v>0</v>
      </c>
      <c r="E29" s="209">
        <f t="shared" si="3"/>
        <v>0</v>
      </c>
      <c r="F29" s="209">
        <f t="shared" si="3"/>
        <v>0</v>
      </c>
      <c r="G29" s="209">
        <f t="shared" si="3"/>
        <v>0</v>
      </c>
      <c r="H29" s="209">
        <f t="shared" si="3"/>
        <v>0</v>
      </c>
      <c r="I29" s="214"/>
      <c r="J29" s="214"/>
      <c r="K29" s="214"/>
      <c r="L29" s="214"/>
      <c r="M29" s="214"/>
    </row>
    <row r="30" spans="1:14" ht="14" x14ac:dyDescent="0.3">
      <c r="A30" s="214"/>
      <c r="B30" s="207" t="s">
        <v>197</v>
      </c>
      <c r="C30" s="206">
        <f t="shared" ref="C30:H30" si="4">SUM(C16:C29)</f>
        <v>0</v>
      </c>
      <c r="D30" s="206">
        <f t="shared" si="4"/>
        <v>528</v>
      </c>
      <c r="E30" s="206">
        <f t="shared" si="4"/>
        <v>700</v>
      </c>
      <c r="F30" s="206">
        <f t="shared" si="4"/>
        <v>846</v>
      </c>
      <c r="G30" s="206">
        <f t="shared" si="4"/>
        <v>966</v>
      </c>
      <c r="H30" s="206">
        <f t="shared" si="4"/>
        <v>966</v>
      </c>
      <c r="I30" s="214"/>
      <c r="J30" s="205">
        <f>D30/$D$51</f>
        <v>0.97058823529411764</v>
      </c>
      <c r="K30" s="205">
        <f>E30/$E$51</f>
        <v>0.970873786407767</v>
      </c>
      <c r="L30" s="205">
        <f>F30/$F$51</f>
        <v>0.97018348623853212</v>
      </c>
      <c r="M30" s="205">
        <f>G30/$G$51</f>
        <v>0.96987951807228912</v>
      </c>
      <c r="N30" s="205">
        <f>H30/$H$51</f>
        <v>0.96987951807228912</v>
      </c>
    </row>
    <row r="31" spans="1:14" ht="13" x14ac:dyDescent="0.3">
      <c r="A31" s="214"/>
      <c r="B31" s="214"/>
      <c r="C31" s="214"/>
      <c r="D31" s="214"/>
      <c r="E31" s="214"/>
      <c r="F31" s="214"/>
      <c r="G31" s="214"/>
      <c r="H31" s="214"/>
      <c r="I31" s="214"/>
      <c r="J31" s="213"/>
      <c r="K31" s="213"/>
      <c r="L31" s="213"/>
      <c r="M31" s="213"/>
      <c r="N31" s="208"/>
    </row>
    <row r="32" spans="1:14" ht="14" x14ac:dyDescent="0.3">
      <c r="A32" s="214"/>
      <c r="B32" s="227" t="s">
        <v>275</v>
      </c>
      <c r="C32" s="214"/>
      <c r="D32" s="214"/>
      <c r="E32" s="214"/>
      <c r="F32" s="214"/>
      <c r="G32" s="214"/>
      <c r="H32" s="214"/>
      <c r="I32" s="214"/>
      <c r="J32" s="213"/>
      <c r="K32" s="213"/>
      <c r="L32" s="213"/>
      <c r="M32" s="213"/>
      <c r="N32" s="208"/>
    </row>
    <row r="33" spans="1:14" ht="13.5" thickBot="1" x14ac:dyDescent="0.35">
      <c r="A33" s="214"/>
      <c r="B33" s="214"/>
      <c r="C33" s="214"/>
      <c r="D33" s="214"/>
      <c r="E33" s="214"/>
      <c r="F33" s="214"/>
      <c r="G33" s="214"/>
      <c r="H33" s="214"/>
      <c r="I33" s="214"/>
      <c r="J33" s="213"/>
      <c r="K33" s="213"/>
      <c r="L33" s="213"/>
      <c r="M33" s="213"/>
      <c r="N33" s="208"/>
    </row>
    <row r="34" spans="1:14" ht="15.75" customHeight="1" x14ac:dyDescent="0.3">
      <c r="A34" s="214"/>
      <c r="B34" s="371" t="s">
        <v>271</v>
      </c>
      <c r="C34" s="374" t="s">
        <v>270</v>
      </c>
      <c r="D34" s="375"/>
      <c r="E34" s="375"/>
      <c r="F34" s="375"/>
      <c r="G34" s="375"/>
      <c r="H34" s="376"/>
      <c r="I34" s="214"/>
      <c r="J34" s="213"/>
      <c r="K34" s="213"/>
      <c r="L34" s="213"/>
      <c r="M34" s="213"/>
      <c r="N34" s="208"/>
    </row>
    <row r="35" spans="1:14" ht="14" x14ac:dyDescent="0.3">
      <c r="A35" s="214"/>
      <c r="B35" s="372"/>
      <c r="C35" s="222">
        <f>+C14</f>
        <v>2022</v>
      </c>
      <c r="D35" s="221">
        <f>+C36</f>
        <v>2023</v>
      </c>
      <c r="E35" s="221">
        <f>+D36</f>
        <v>2024</v>
      </c>
      <c r="F35" s="221">
        <f>+E36</f>
        <v>2025</v>
      </c>
      <c r="G35" s="221">
        <f>+F36</f>
        <v>2026</v>
      </c>
      <c r="H35" s="220">
        <f>+G36</f>
        <v>2027</v>
      </c>
      <c r="I35" s="214"/>
      <c r="J35" s="213"/>
      <c r="K35" s="213"/>
      <c r="L35" s="213"/>
      <c r="M35" s="213"/>
      <c r="N35" s="208"/>
    </row>
    <row r="36" spans="1:14" ht="14.5" thickBot="1" x14ac:dyDescent="0.35">
      <c r="A36" s="214"/>
      <c r="B36" s="373"/>
      <c r="C36" s="219">
        <f t="shared" ref="C36:H36" si="5">+C35+1</f>
        <v>2023</v>
      </c>
      <c r="D36" s="218">
        <f t="shared" si="5"/>
        <v>2024</v>
      </c>
      <c r="E36" s="218">
        <f t="shared" si="5"/>
        <v>2025</v>
      </c>
      <c r="F36" s="218">
        <f t="shared" si="5"/>
        <v>2026</v>
      </c>
      <c r="G36" s="218">
        <f t="shared" si="5"/>
        <v>2027</v>
      </c>
      <c r="H36" s="217">
        <f t="shared" si="5"/>
        <v>2028</v>
      </c>
      <c r="I36" s="214"/>
      <c r="J36" s="213"/>
      <c r="K36" s="213"/>
      <c r="L36" s="213"/>
      <c r="M36" s="213"/>
      <c r="N36" s="208"/>
    </row>
    <row r="37" spans="1:14" ht="14" x14ac:dyDescent="0.3">
      <c r="A37" s="214"/>
      <c r="B37" s="215" t="s">
        <v>269</v>
      </c>
      <c r="C37" s="216"/>
      <c r="D37" s="216"/>
      <c r="E37" s="216"/>
      <c r="F37" s="216"/>
      <c r="G37" s="216"/>
      <c r="H37" s="216"/>
      <c r="I37" s="214"/>
      <c r="J37" s="213"/>
      <c r="K37" s="213"/>
      <c r="L37" s="213"/>
      <c r="M37" s="213"/>
      <c r="N37" s="208"/>
    </row>
    <row r="38" spans="1:14" ht="14" x14ac:dyDescent="0.3">
      <c r="A38" s="214"/>
      <c r="B38" s="215" t="s">
        <v>268</v>
      </c>
      <c r="C38" s="212">
        <f>'5-Year New Campus'!B6</f>
        <v>0</v>
      </c>
      <c r="D38" s="212">
        <f>'5-Year New Campus'!C6</f>
        <v>100</v>
      </c>
      <c r="E38" s="212">
        <f>'5-Year New Campus'!D6</f>
        <v>100</v>
      </c>
      <c r="F38" s="212">
        <f>'5-Year New Campus'!E6</f>
        <v>100</v>
      </c>
      <c r="G38" s="212">
        <f>'5-Year New Campus'!F6</f>
        <v>100</v>
      </c>
      <c r="H38" s="212">
        <f>'5-Year New Campus'!G6</f>
        <v>100</v>
      </c>
      <c r="I38" s="214"/>
      <c r="J38" s="213"/>
      <c r="K38" s="213"/>
      <c r="L38" s="213"/>
      <c r="M38" s="213"/>
      <c r="N38" s="208"/>
    </row>
    <row r="39" spans="1:14" ht="14" x14ac:dyDescent="0.3">
      <c r="A39" s="214"/>
      <c r="B39" s="211">
        <v>1</v>
      </c>
      <c r="C39" s="212">
        <f>'5-Year New Campus'!B7</f>
        <v>0</v>
      </c>
      <c r="D39" s="212">
        <f>'5-Year New Campus'!C7</f>
        <v>104</v>
      </c>
      <c r="E39" s="212">
        <f>'5-Year New Campus'!D7</f>
        <v>104</v>
      </c>
      <c r="F39" s="212">
        <f>'5-Year New Campus'!E7</f>
        <v>104</v>
      </c>
      <c r="G39" s="212">
        <f>'5-Year New Campus'!F7</f>
        <v>104</v>
      </c>
      <c r="H39" s="212">
        <f>'5-Year New Campus'!G7</f>
        <v>104</v>
      </c>
      <c r="I39" s="214"/>
      <c r="J39" s="213"/>
      <c r="K39" s="213"/>
      <c r="L39" s="213"/>
      <c r="M39" s="213"/>
      <c r="N39" s="208"/>
    </row>
    <row r="40" spans="1:14" ht="14" x14ac:dyDescent="0.3">
      <c r="A40" s="214"/>
      <c r="B40" s="211">
        <v>2</v>
      </c>
      <c r="C40" s="212">
        <f>'5-Year New Campus'!B8</f>
        <v>0</v>
      </c>
      <c r="D40" s="212">
        <f>'5-Year New Campus'!C8</f>
        <v>104</v>
      </c>
      <c r="E40" s="212">
        <f>'5-Year New Campus'!D8</f>
        <v>104</v>
      </c>
      <c r="F40" s="212">
        <f>'5-Year New Campus'!E8</f>
        <v>104</v>
      </c>
      <c r="G40" s="212">
        <f>'5-Year New Campus'!F8</f>
        <v>104</v>
      </c>
      <c r="H40" s="212">
        <f>'5-Year New Campus'!G8</f>
        <v>104</v>
      </c>
      <c r="I40" s="214"/>
      <c r="J40" s="213"/>
      <c r="K40" s="213"/>
      <c r="L40" s="213"/>
      <c r="M40" s="213"/>
      <c r="N40" s="208"/>
    </row>
    <row r="41" spans="1:14" ht="14" x14ac:dyDescent="0.3">
      <c r="A41" s="214"/>
      <c r="B41" s="211">
        <v>3</v>
      </c>
      <c r="C41" s="212">
        <f>'5-Year New Campus'!B9</f>
        <v>0</v>
      </c>
      <c r="D41" s="212">
        <f>'5-Year New Campus'!C9</f>
        <v>104</v>
      </c>
      <c r="E41" s="212">
        <f>'5-Year New Campus'!D9</f>
        <v>104</v>
      </c>
      <c r="F41" s="212">
        <f>'5-Year New Campus'!E9</f>
        <v>104</v>
      </c>
      <c r="G41" s="212">
        <f>'5-Year New Campus'!F9</f>
        <v>104</v>
      </c>
      <c r="H41" s="212">
        <f>'5-Year New Campus'!G9</f>
        <v>104</v>
      </c>
      <c r="I41" s="214"/>
      <c r="J41" s="213"/>
      <c r="K41" s="213"/>
      <c r="L41" s="213"/>
      <c r="M41" s="213"/>
      <c r="N41" s="208"/>
    </row>
    <row r="42" spans="1:14" ht="14" x14ac:dyDescent="0.3">
      <c r="A42" s="214"/>
      <c r="B42" s="211">
        <v>4</v>
      </c>
      <c r="C42" s="212">
        <f>'5-Year New Campus'!B10</f>
        <v>0</v>
      </c>
      <c r="D42" s="212">
        <f>'5-Year New Campus'!C10</f>
        <v>78</v>
      </c>
      <c r="E42" s="212">
        <f>'5-Year New Campus'!D10</f>
        <v>104</v>
      </c>
      <c r="F42" s="212">
        <f>'5-Year New Campus'!E10</f>
        <v>104</v>
      </c>
      <c r="G42" s="212">
        <f>'5-Year New Campus'!F10</f>
        <v>104</v>
      </c>
      <c r="H42" s="212">
        <f>'5-Year New Campus'!G10</f>
        <v>104</v>
      </c>
      <c r="I42" s="214"/>
      <c r="J42" s="213"/>
      <c r="K42" s="213"/>
      <c r="L42" s="213"/>
      <c r="M42" s="213"/>
      <c r="N42" s="208"/>
    </row>
    <row r="43" spans="1:14" ht="14" x14ac:dyDescent="0.3">
      <c r="A43" s="214"/>
      <c r="B43" s="211">
        <v>5</v>
      </c>
      <c r="C43" s="212">
        <f>'5-Year New Campus'!B11</f>
        <v>0</v>
      </c>
      <c r="D43" s="212">
        <f>'5-Year New Campus'!C11</f>
        <v>54</v>
      </c>
      <c r="E43" s="212">
        <f>'5-Year New Campus'!D11</f>
        <v>81</v>
      </c>
      <c r="F43" s="212">
        <f>'5-Year New Campus'!E11</f>
        <v>108</v>
      </c>
      <c r="G43" s="212">
        <f>'5-Year New Campus'!F11</f>
        <v>108</v>
      </c>
      <c r="H43" s="212">
        <f>'5-Year New Campus'!G11</f>
        <v>108</v>
      </c>
      <c r="I43" s="214"/>
      <c r="J43" s="213"/>
      <c r="K43" s="213"/>
      <c r="L43" s="213"/>
      <c r="M43" s="213"/>
      <c r="N43" s="208"/>
    </row>
    <row r="44" spans="1:14" ht="14" x14ac:dyDescent="0.3">
      <c r="A44" s="214"/>
      <c r="B44" s="211">
        <v>6</v>
      </c>
      <c r="C44" s="212">
        <f>'5-Year New Campus'!B12</f>
        <v>0</v>
      </c>
      <c r="D44" s="212">
        <f>'5-Year New Campus'!C12</f>
        <v>0</v>
      </c>
      <c r="E44" s="212">
        <f>'5-Year New Campus'!D12</f>
        <v>124</v>
      </c>
      <c r="F44" s="212">
        <f>'5-Year New Campus'!E12</f>
        <v>124</v>
      </c>
      <c r="G44" s="212">
        <f>'5-Year New Campus'!F12</f>
        <v>124</v>
      </c>
      <c r="H44" s="212">
        <f>'5-Year New Campus'!G12</f>
        <v>124</v>
      </c>
      <c r="I44" s="214"/>
      <c r="J44" s="213"/>
      <c r="K44" s="213"/>
      <c r="L44" s="213"/>
      <c r="M44" s="213"/>
      <c r="N44" s="208"/>
    </row>
    <row r="45" spans="1:14" ht="14" x14ac:dyDescent="0.3">
      <c r="A45" s="214"/>
      <c r="B45" s="211">
        <v>7</v>
      </c>
      <c r="C45" s="212">
        <f>'5-Year New Campus'!B13</f>
        <v>0</v>
      </c>
      <c r="D45" s="212">
        <f>'5-Year New Campus'!C13</f>
        <v>0</v>
      </c>
      <c r="E45" s="212">
        <f>'5-Year New Campus'!D13</f>
        <v>0</v>
      </c>
      <c r="F45" s="212">
        <f>'5-Year New Campus'!E13</f>
        <v>124</v>
      </c>
      <c r="G45" s="212">
        <f>'5-Year New Campus'!F13</f>
        <v>124</v>
      </c>
      <c r="H45" s="212">
        <f>'5-Year New Campus'!G13</f>
        <v>124</v>
      </c>
      <c r="I45" s="214"/>
      <c r="J45" s="213"/>
      <c r="K45" s="213"/>
      <c r="L45" s="213"/>
      <c r="M45" s="213"/>
      <c r="N45" s="208"/>
    </row>
    <row r="46" spans="1:14" ht="14" x14ac:dyDescent="0.3">
      <c r="A46" s="214"/>
      <c r="B46" s="211">
        <v>8</v>
      </c>
      <c r="C46" s="212">
        <f>'5-Year New Campus'!B14</f>
        <v>0</v>
      </c>
      <c r="D46" s="212">
        <f>'5-Year New Campus'!C14</f>
        <v>0</v>
      </c>
      <c r="E46" s="212">
        <f>'5-Year New Campus'!D14</f>
        <v>0</v>
      </c>
      <c r="F46" s="212">
        <f>'5-Year New Campus'!E14</f>
        <v>0</v>
      </c>
      <c r="G46" s="212">
        <f>'5-Year New Campus'!F14</f>
        <v>124</v>
      </c>
      <c r="H46" s="212">
        <f>'5-Year New Campus'!G14</f>
        <v>124</v>
      </c>
      <c r="I46" s="214"/>
      <c r="J46" s="213"/>
      <c r="K46" s="213"/>
      <c r="L46" s="213"/>
      <c r="M46" s="213"/>
      <c r="N46" s="208"/>
    </row>
    <row r="47" spans="1:14" ht="14" x14ac:dyDescent="0.3">
      <c r="A47" s="214"/>
      <c r="B47" s="211">
        <v>9</v>
      </c>
      <c r="C47" s="212">
        <f>'5-Year DANN System'!B15</f>
        <v>0</v>
      </c>
      <c r="D47" s="212">
        <f>'5-Year DANN System'!C15</f>
        <v>0</v>
      </c>
      <c r="E47" s="212">
        <f>'5-Year DANN System'!D15</f>
        <v>0</v>
      </c>
      <c r="F47" s="212">
        <f>'5-Year DANN System'!E15</f>
        <v>0</v>
      </c>
      <c r="G47" s="212">
        <f>'5-Year DANN System'!F15</f>
        <v>0</v>
      </c>
      <c r="H47" s="212">
        <f>'5-Year DANN System'!G15</f>
        <v>0</v>
      </c>
      <c r="I47" s="214"/>
      <c r="J47" s="213"/>
      <c r="K47" s="213"/>
      <c r="L47" s="213"/>
      <c r="M47" s="213"/>
      <c r="N47" s="208"/>
    </row>
    <row r="48" spans="1:14" ht="14" x14ac:dyDescent="0.3">
      <c r="A48" s="214"/>
      <c r="B48" s="211">
        <v>10</v>
      </c>
      <c r="C48" s="212">
        <f>'5-Year DANN System'!B16</f>
        <v>0</v>
      </c>
      <c r="D48" s="212">
        <f>'5-Year DANN System'!C16</f>
        <v>0</v>
      </c>
      <c r="E48" s="212">
        <f>'5-Year DANN System'!D16</f>
        <v>0</v>
      </c>
      <c r="F48" s="212">
        <f>'5-Year DANN System'!E16</f>
        <v>0</v>
      </c>
      <c r="G48" s="212">
        <f>'5-Year DANN System'!F16</f>
        <v>0</v>
      </c>
      <c r="H48" s="212">
        <f>'5-Year DANN System'!G16</f>
        <v>0</v>
      </c>
      <c r="I48" s="214"/>
      <c r="J48" s="213"/>
      <c r="K48" s="213"/>
      <c r="L48" s="213"/>
      <c r="M48" s="213"/>
      <c r="N48" s="208"/>
    </row>
    <row r="49" spans="1:14" ht="14" x14ac:dyDescent="0.3">
      <c r="A49" s="214"/>
      <c r="B49" s="211">
        <v>11</v>
      </c>
      <c r="C49" s="212">
        <f>'5-Year DANN System'!B17</f>
        <v>0</v>
      </c>
      <c r="D49" s="212">
        <f>'5-Year DANN System'!C17</f>
        <v>0</v>
      </c>
      <c r="E49" s="212">
        <f>'5-Year DANN System'!D17</f>
        <v>0</v>
      </c>
      <c r="F49" s="212">
        <f>'5-Year DANN System'!E17</f>
        <v>0</v>
      </c>
      <c r="G49" s="212">
        <f>'5-Year DANN System'!F17</f>
        <v>0</v>
      </c>
      <c r="H49" s="212">
        <f>'5-Year DANN System'!G17</f>
        <v>0</v>
      </c>
      <c r="I49" s="214"/>
      <c r="J49" s="213"/>
      <c r="K49" s="213"/>
      <c r="L49" s="213"/>
      <c r="M49" s="213"/>
      <c r="N49" s="208"/>
    </row>
    <row r="50" spans="1:14" ht="14" x14ac:dyDescent="0.3">
      <c r="A50" s="214"/>
      <c r="B50" s="210">
        <v>12</v>
      </c>
      <c r="C50" s="212">
        <f>'5-Year DANN System'!B18</f>
        <v>0</v>
      </c>
      <c r="D50" s="212">
        <f>'5-Year DANN System'!C18</f>
        <v>0</v>
      </c>
      <c r="E50" s="212">
        <f>'5-Year DANN System'!D18</f>
        <v>0</v>
      </c>
      <c r="F50" s="212">
        <f>'5-Year DANN System'!E18</f>
        <v>0</v>
      </c>
      <c r="G50" s="212">
        <f>'5-Year DANN System'!F18</f>
        <v>0</v>
      </c>
      <c r="H50" s="212">
        <f>'5-Year DANN System'!G18</f>
        <v>0</v>
      </c>
      <c r="I50" s="214"/>
      <c r="J50" s="213"/>
      <c r="K50" s="213"/>
      <c r="L50" s="213"/>
      <c r="M50" s="213"/>
      <c r="N50" s="208"/>
    </row>
    <row r="51" spans="1:14" ht="14" x14ac:dyDescent="0.3">
      <c r="A51" s="214"/>
      <c r="B51" s="207" t="s">
        <v>197</v>
      </c>
      <c r="C51" s="206">
        <f t="shared" ref="C51:H51" si="6">SUM(C37:C50)</f>
        <v>0</v>
      </c>
      <c r="D51" s="206">
        <f t="shared" si="6"/>
        <v>544</v>
      </c>
      <c r="E51" s="206">
        <f t="shared" si="6"/>
        <v>721</v>
      </c>
      <c r="F51" s="206">
        <f t="shared" si="6"/>
        <v>872</v>
      </c>
      <c r="G51" s="206">
        <f t="shared" si="6"/>
        <v>996</v>
      </c>
      <c r="H51" s="206">
        <f t="shared" si="6"/>
        <v>996</v>
      </c>
      <c r="I51" s="214"/>
      <c r="J51" s="226">
        <f>D51/$D$51</f>
        <v>1</v>
      </c>
      <c r="K51" s="226">
        <f>E51/$E$51</f>
        <v>1</v>
      </c>
      <c r="L51" s="226">
        <f>F51/$F$51</f>
        <v>1</v>
      </c>
      <c r="M51" s="226">
        <f>G51/$G$51</f>
        <v>1</v>
      </c>
      <c r="N51" s="226">
        <f>H51/$H$51</f>
        <v>1</v>
      </c>
    </row>
    <row r="52" spans="1:14" ht="13" x14ac:dyDescent="0.3">
      <c r="A52" s="214"/>
      <c r="B52" s="214"/>
      <c r="C52" s="214"/>
      <c r="D52" s="214"/>
      <c r="E52" s="214"/>
      <c r="F52" s="214"/>
      <c r="G52" s="214"/>
      <c r="H52" s="214"/>
      <c r="I52" s="214"/>
      <c r="J52" s="213"/>
      <c r="K52" s="213"/>
      <c r="L52" s="213"/>
      <c r="M52" s="213"/>
      <c r="N52" s="208"/>
    </row>
    <row r="53" spans="1:14" ht="14" x14ac:dyDescent="0.3">
      <c r="A53" s="214"/>
      <c r="B53" s="225" t="s">
        <v>274</v>
      </c>
      <c r="C53" s="223"/>
      <c r="D53" s="223"/>
      <c r="E53" s="223"/>
      <c r="F53" s="223"/>
      <c r="G53" s="223"/>
      <c r="H53" s="223"/>
      <c r="I53" s="214"/>
      <c r="J53" s="213"/>
      <c r="K53" s="213"/>
      <c r="L53" s="213"/>
      <c r="M53" s="213"/>
      <c r="N53" s="208"/>
    </row>
    <row r="54" spans="1:14" ht="14" x14ac:dyDescent="0.3">
      <c r="A54" s="214"/>
      <c r="B54" s="225" t="s">
        <v>273</v>
      </c>
      <c r="C54" s="223"/>
      <c r="D54" s="223"/>
      <c r="E54" s="223"/>
      <c r="F54" s="223"/>
      <c r="G54" s="223"/>
      <c r="H54" s="223"/>
      <c r="I54" s="214"/>
      <c r="J54" s="213"/>
      <c r="K54" s="213"/>
      <c r="L54" s="213"/>
      <c r="M54" s="213"/>
      <c r="N54" s="208"/>
    </row>
    <row r="55" spans="1:14" ht="13" x14ac:dyDescent="0.3">
      <c r="A55" s="214"/>
      <c r="B55" s="224" t="s">
        <v>272</v>
      </c>
      <c r="C55" s="223"/>
      <c r="D55" s="223"/>
      <c r="E55" s="223"/>
      <c r="F55" s="223"/>
      <c r="G55" s="223"/>
      <c r="H55" s="223"/>
      <c r="I55" s="214"/>
      <c r="J55" s="213"/>
      <c r="K55" s="213"/>
      <c r="L55" s="213"/>
      <c r="M55" s="213"/>
      <c r="N55" s="208"/>
    </row>
    <row r="56" spans="1:14" ht="13.5" thickBot="1" x14ac:dyDescent="0.35">
      <c r="A56" s="214"/>
      <c r="B56" s="214"/>
      <c r="C56" s="214"/>
      <c r="D56" s="214"/>
      <c r="E56" s="214"/>
      <c r="F56" s="214"/>
      <c r="G56" s="214"/>
      <c r="H56" s="214"/>
      <c r="I56" s="214"/>
      <c r="J56" s="213"/>
      <c r="K56" s="213"/>
      <c r="L56" s="213"/>
      <c r="M56" s="213"/>
      <c r="N56" s="208"/>
    </row>
    <row r="57" spans="1:14" ht="15.75" customHeight="1" x14ac:dyDescent="0.3">
      <c r="A57" s="214"/>
      <c r="B57" s="371" t="s">
        <v>271</v>
      </c>
      <c r="C57" s="374" t="s">
        <v>270</v>
      </c>
      <c r="D57" s="375"/>
      <c r="E57" s="375"/>
      <c r="F57" s="375"/>
      <c r="G57" s="375"/>
      <c r="H57" s="376"/>
      <c r="I57" s="214"/>
      <c r="J57" s="213"/>
      <c r="K57" s="213"/>
      <c r="L57" s="213"/>
      <c r="M57" s="213"/>
      <c r="N57" s="208"/>
    </row>
    <row r="58" spans="1:14" ht="14" x14ac:dyDescent="0.3">
      <c r="A58" s="214"/>
      <c r="B58" s="372"/>
      <c r="C58" s="222">
        <f>+C14</f>
        <v>2022</v>
      </c>
      <c r="D58" s="221">
        <f>+C59</f>
        <v>2023</v>
      </c>
      <c r="E58" s="221">
        <f>+D59</f>
        <v>2024</v>
      </c>
      <c r="F58" s="221">
        <f>+E59</f>
        <v>2025</v>
      </c>
      <c r="G58" s="221">
        <f>+F59</f>
        <v>2026</v>
      </c>
      <c r="H58" s="220">
        <f>+G59</f>
        <v>2027</v>
      </c>
      <c r="I58" s="214"/>
      <c r="J58" s="213"/>
      <c r="K58" s="213"/>
      <c r="L58" s="213"/>
      <c r="M58" s="213"/>
      <c r="N58" s="208"/>
    </row>
    <row r="59" spans="1:14" ht="14.5" thickBot="1" x14ac:dyDescent="0.35">
      <c r="A59" s="214"/>
      <c r="B59" s="373"/>
      <c r="C59" s="219">
        <f t="shared" ref="C59:H59" si="7">+C58+1</f>
        <v>2023</v>
      </c>
      <c r="D59" s="218">
        <f t="shared" si="7"/>
        <v>2024</v>
      </c>
      <c r="E59" s="218">
        <f t="shared" si="7"/>
        <v>2025</v>
      </c>
      <c r="F59" s="218">
        <f t="shared" si="7"/>
        <v>2026</v>
      </c>
      <c r="G59" s="218">
        <f t="shared" si="7"/>
        <v>2027</v>
      </c>
      <c r="H59" s="217">
        <f t="shared" si="7"/>
        <v>2028</v>
      </c>
      <c r="I59" s="214"/>
      <c r="J59" s="213"/>
      <c r="K59" s="213"/>
      <c r="L59" s="213"/>
      <c r="M59" s="213"/>
      <c r="N59" s="208"/>
    </row>
    <row r="60" spans="1:14" ht="14" x14ac:dyDescent="0.3">
      <c r="A60" s="214"/>
      <c r="B60" s="215" t="s">
        <v>269</v>
      </c>
      <c r="C60" s="216"/>
      <c r="D60" s="216"/>
      <c r="E60" s="216"/>
      <c r="F60" s="216"/>
      <c r="G60" s="216"/>
      <c r="H60" s="216"/>
      <c r="I60" s="214"/>
      <c r="J60" s="213"/>
      <c r="K60" s="213"/>
      <c r="L60" s="213"/>
      <c r="M60" s="213"/>
      <c r="N60" s="208"/>
    </row>
    <row r="61" spans="1:14" ht="14" x14ac:dyDescent="0.3">
      <c r="A61" s="214"/>
      <c r="B61" s="215" t="s">
        <v>268</v>
      </c>
      <c r="C61" s="209">
        <f t="shared" ref="C61:H61" si="8">ROUND(C38*1.05,0)</f>
        <v>0</v>
      </c>
      <c r="D61" s="209">
        <f t="shared" si="8"/>
        <v>105</v>
      </c>
      <c r="E61" s="209">
        <f t="shared" si="8"/>
        <v>105</v>
      </c>
      <c r="F61" s="209">
        <f t="shared" si="8"/>
        <v>105</v>
      </c>
      <c r="G61" s="209">
        <f t="shared" si="8"/>
        <v>105</v>
      </c>
      <c r="H61" s="209">
        <f t="shared" si="8"/>
        <v>105</v>
      </c>
      <c r="I61" s="214"/>
      <c r="J61" s="213"/>
      <c r="K61" s="213"/>
      <c r="L61" s="213"/>
      <c r="M61" s="213"/>
      <c r="N61" s="208"/>
    </row>
    <row r="62" spans="1:14" ht="14" x14ac:dyDescent="0.3">
      <c r="A62" s="214"/>
      <c r="B62" s="211">
        <v>1</v>
      </c>
      <c r="C62" s="209">
        <f t="shared" ref="C62:H73" si="9">ROUND(C39*1.05,0)</f>
        <v>0</v>
      </c>
      <c r="D62" s="209">
        <f t="shared" si="9"/>
        <v>109</v>
      </c>
      <c r="E62" s="209">
        <f t="shared" si="9"/>
        <v>109</v>
      </c>
      <c r="F62" s="209">
        <f t="shared" si="9"/>
        <v>109</v>
      </c>
      <c r="G62" s="209">
        <f t="shared" si="9"/>
        <v>109</v>
      </c>
      <c r="H62" s="209">
        <f t="shared" si="9"/>
        <v>109</v>
      </c>
      <c r="I62" s="214"/>
      <c r="J62" s="213"/>
      <c r="K62" s="213"/>
      <c r="L62" s="213"/>
      <c r="M62" s="213"/>
      <c r="N62" s="208"/>
    </row>
    <row r="63" spans="1:14" ht="14" x14ac:dyDescent="0.3">
      <c r="A63" s="214"/>
      <c r="B63" s="211">
        <v>2</v>
      </c>
      <c r="C63" s="209">
        <f t="shared" si="9"/>
        <v>0</v>
      </c>
      <c r="D63" s="209">
        <f t="shared" si="9"/>
        <v>109</v>
      </c>
      <c r="E63" s="209">
        <f t="shared" si="9"/>
        <v>109</v>
      </c>
      <c r="F63" s="209">
        <f t="shared" si="9"/>
        <v>109</v>
      </c>
      <c r="G63" s="209">
        <f t="shared" si="9"/>
        <v>109</v>
      </c>
      <c r="H63" s="209">
        <f t="shared" si="9"/>
        <v>109</v>
      </c>
      <c r="I63" s="214"/>
      <c r="J63" s="213"/>
      <c r="K63" s="213"/>
      <c r="L63" s="213"/>
      <c r="M63" s="213"/>
      <c r="N63" s="208"/>
    </row>
    <row r="64" spans="1:14" ht="14" x14ac:dyDescent="0.3">
      <c r="A64" s="214"/>
      <c r="B64" s="211">
        <v>3</v>
      </c>
      <c r="C64" s="209">
        <f t="shared" si="9"/>
        <v>0</v>
      </c>
      <c r="D64" s="209">
        <f t="shared" si="9"/>
        <v>109</v>
      </c>
      <c r="E64" s="209">
        <f t="shared" si="9"/>
        <v>109</v>
      </c>
      <c r="F64" s="209">
        <f t="shared" si="9"/>
        <v>109</v>
      </c>
      <c r="G64" s="209">
        <f t="shared" si="9"/>
        <v>109</v>
      </c>
      <c r="H64" s="209">
        <f t="shared" si="9"/>
        <v>109</v>
      </c>
      <c r="I64" s="214"/>
      <c r="J64" s="213"/>
      <c r="K64" s="213"/>
      <c r="L64" s="213"/>
      <c r="M64" s="213"/>
      <c r="N64" s="208"/>
    </row>
    <row r="65" spans="2:14" ht="14" x14ac:dyDescent="0.3">
      <c r="B65" s="211">
        <v>4</v>
      </c>
      <c r="C65" s="209">
        <f t="shared" si="9"/>
        <v>0</v>
      </c>
      <c r="D65" s="209">
        <f t="shared" si="9"/>
        <v>82</v>
      </c>
      <c r="E65" s="209">
        <f t="shared" si="9"/>
        <v>109</v>
      </c>
      <c r="F65" s="209">
        <f t="shared" si="9"/>
        <v>109</v>
      </c>
      <c r="G65" s="209">
        <f t="shared" si="9"/>
        <v>109</v>
      </c>
      <c r="H65" s="209">
        <f t="shared" si="9"/>
        <v>109</v>
      </c>
      <c r="J65" s="208"/>
      <c r="K65" s="208"/>
      <c r="L65" s="208"/>
      <c r="M65" s="208"/>
      <c r="N65" s="208"/>
    </row>
    <row r="66" spans="2:14" ht="14" x14ac:dyDescent="0.3">
      <c r="B66" s="211">
        <v>5</v>
      </c>
      <c r="C66" s="209">
        <f t="shared" si="9"/>
        <v>0</v>
      </c>
      <c r="D66" s="209">
        <f t="shared" si="9"/>
        <v>57</v>
      </c>
      <c r="E66" s="209">
        <f t="shared" si="9"/>
        <v>85</v>
      </c>
      <c r="F66" s="209">
        <f t="shared" si="9"/>
        <v>113</v>
      </c>
      <c r="G66" s="209">
        <f t="shared" si="9"/>
        <v>113</v>
      </c>
      <c r="H66" s="209">
        <f t="shared" si="9"/>
        <v>113</v>
      </c>
      <c r="J66" s="208"/>
      <c r="K66" s="208"/>
      <c r="L66" s="208"/>
      <c r="M66" s="208"/>
      <c r="N66" s="208"/>
    </row>
    <row r="67" spans="2:14" ht="14" x14ac:dyDescent="0.3">
      <c r="B67" s="211">
        <v>6</v>
      </c>
      <c r="C67" s="209">
        <f t="shared" si="9"/>
        <v>0</v>
      </c>
      <c r="D67" s="209">
        <f t="shared" si="9"/>
        <v>0</v>
      </c>
      <c r="E67" s="209">
        <f t="shared" si="9"/>
        <v>130</v>
      </c>
      <c r="F67" s="209">
        <f t="shared" si="9"/>
        <v>130</v>
      </c>
      <c r="G67" s="209">
        <f t="shared" si="9"/>
        <v>130</v>
      </c>
      <c r="H67" s="209">
        <f t="shared" si="9"/>
        <v>130</v>
      </c>
      <c r="J67" s="208"/>
      <c r="K67" s="208"/>
      <c r="L67" s="208"/>
      <c r="M67" s="208"/>
      <c r="N67" s="208"/>
    </row>
    <row r="68" spans="2:14" ht="14" x14ac:dyDescent="0.3">
      <c r="B68" s="211">
        <v>7</v>
      </c>
      <c r="C68" s="209">
        <f t="shared" si="9"/>
        <v>0</v>
      </c>
      <c r="D68" s="209">
        <f t="shared" si="9"/>
        <v>0</v>
      </c>
      <c r="E68" s="209">
        <f t="shared" si="9"/>
        <v>0</v>
      </c>
      <c r="F68" s="209">
        <f t="shared" si="9"/>
        <v>130</v>
      </c>
      <c r="G68" s="209">
        <f t="shared" si="9"/>
        <v>130</v>
      </c>
      <c r="H68" s="209">
        <f t="shared" si="9"/>
        <v>130</v>
      </c>
      <c r="J68" s="208"/>
      <c r="K68" s="208"/>
      <c r="L68" s="208"/>
      <c r="M68" s="208"/>
      <c r="N68" s="208"/>
    </row>
    <row r="69" spans="2:14" ht="14" x14ac:dyDescent="0.3">
      <c r="B69" s="211">
        <v>8</v>
      </c>
      <c r="C69" s="209">
        <f t="shared" si="9"/>
        <v>0</v>
      </c>
      <c r="D69" s="209">
        <f t="shared" si="9"/>
        <v>0</v>
      </c>
      <c r="E69" s="209">
        <f t="shared" si="9"/>
        <v>0</v>
      </c>
      <c r="F69" s="209">
        <f t="shared" si="9"/>
        <v>0</v>
      </c>
      <c r="G69" s="209">
        <f t="shared" si="9"/>
        <v>130</v>
      </c>
      <c r="H69" s="209">
        <f t="shared" si="9"/>
        <v>130</v>
      </c>
      <c r="J69" s="208"/>
      <c r="K69" s="208"/>
      <c r="L69" s="208"/>
      <c r="M69" s="208"/>
      <c r="N69" s="208"/>
    </row>
    <row r="70" spans="2:14" ht="14" x14ac:dyDescent="0.3">
      <c r="B70" s="211">
        <v>9</v>
      </c>
      <c r="C70" s="209">
        <f t="shared" si="9"/>
        <v>0</v>
      </c>
      <c r="D70" s="209">
        <f t="shared" si="9"/>
        <v>0</v>
      </c>
      <c r="E70" s="209">
        <f t="shared" si="9"/>
        <v>0</v>
      </c>
      <c r="F70" s="209">
        <f t="shared" si="9"/>
        <v>0</v>
      </c>
      <c r="G70" s="209">
        <f t="shared" si="9"/>
        <v>0</v>
      </c>
      <c r="H70" s="209">
        <f t="shared" si="9"/>
        <v>0</v>
      </c>
      <c r="J70" s="208"/>
      <c r="K70" s="208"/>
      <c r="L70" s="208"/>
      <c r="M70" s="208"/>
      <c r="N70" s="208"/>
    </row>
    <row r="71" spans="2:14" ht="14" x14ac:dyDescent="0.3">
      <c r="B71" s="211">
        <v>10</v>
      </c>
      <c r="C71" s="209">
        <f t="shared" si="9"/>
        <v>0</v>
      </c>
      <c r="D71" s="209">
        <f t="shared" si="9"/>
        <v>0</v>
      </c>
      <c r="E71" s="209">
        <f t="shared" si="9"/>
        <v>0</v>
      </c>
      <c r="F71" s="209">
        <f t="shared" si="9"/>
        <v>0</v>
      </c>
      <c r="G71" s="209">
        <f t="shared" si="9"/>
        <v>0</v>
      </c>
      <c r="H71" s="209">
        <f t="shared" si="9"/>
        <v>0</v>
      </c>
      <c r="J71" s="208"/>
      <c r="K71" s="208"/>
      <c r="L71" s="208"/>
      <c r="M71" s="208"/>
      <c r="N71" s="208"/>
    </row>
    <row r="72" spans="2:14" ht="14" x14ac:dyDescent="0.3">
      <c r="B72" s="211">
        <v>11</v>
      </c>
      <c r="C72" s="209">
        <f t="shared" si="9"/>
        <v>0</v>
      </c>
      <c r="D72" s="209">
        <f t="shared" si="9"/>
        <v>0</v>
      </c>
      <c r="E72" s="209">
        <f t="shared" si="9"/>
        <v>0</v>
      </c>
      <c r="F72" s="209">
        <f t="shared" si="9"/>
        <v>0</v>
      </c>
      <c r="G72" s="209">
        <f t="shared" si="9"/>
        <v>0</v>
      </c>
      <c r="H72" s="209">
        <f t="shared" si="9"/>
        <v>0</v>
      </c>
      <c r="J72" s="208"/>
      <c r="K72" s="208"/>
      <c r="L72" s="208"/>
      <c r="M72" s="208"/>
      <c r="N72" s="208"/>
    </row>
    <row r="73" spans="2:14" ht="14" x14ac:dyDescent="0.3">
      <c r="B73" s="210">
        <v>12</v>
      </c>
      <c r="C73" s="209">
        <f t="shared" si="9"/>
        <v>0</v>
      </c>
      <c r="D73" s="209">
        <f t="shared" si="9"/>
        <v>0</v>
      </c>
      <c r="E73" s="209">
        <f t="shared" si="9"/>
        <v>0</v>
      </c>
      <c r="F73" s="209">
        <f t="shared" si="9"/>
        <v>0</v>
      </c>
      <c r="G73" s="209">
        <f t="shared" si="9"/>
        <v>0</v>
      </c>
      <c r="H73" s="209">
        <f t="shared" si="9"/>
        <v>0</v>
      </c>
      <c r="J73" s="208"/>
      <c r="K73" s="208"/>
      <c r="L73" s="208"/>
      <c r="M73" s="208"/>
      <c r="N73" s="208"/>
    </row>
    <row r="74" spans="2:14" ht="14" x14ac:dyDescent="0.3">
      <c r="B74" s="207" t="s">
        <v>197</v>
      </c>
      <c r="C74" s="206">
        <f t="shared" ref="C74:H74" si="10">SUM(C60:C73)</f>
        <v>0</v>
      </c>
      <c r="D74" s="206">
        <f t="shared" si="10"/>
        <v>571</v>
      </c>
      <c r="E74" s="206">
        <f t="shared" si="10"/>
        <v>756</v>
      </c>
      <c r="F74" s="206">
        <f t="shared" si="10"/>
        <v>914</v>
      </c>
      <c r="G74" s="206">
        <f t="shared" si="10"/>
        <v>1044</v>
      </c>
      <c r="H74" s="206">
        <f t="shared" si="10"/>
        <v>1044</v>
      </c>
      <c r="J74" s="205">
        <f>D74/$D$51</f>
        <v>1.0496323529411764</v>
      </c>
      <c r="K74" s="205">
        <f>E74/$E$51</f>
        <v>1.0485436893203883</v>
      </c>
      <c r="L74" s="205">
        <f>F74/$F$51</f>
        <v>1.048165137614679</v>
      </c>
      <c r="M74" s="205">
        <f>G74/$G$51</f>
        <v>1.0481927710843373</v>
      </c>
      <c r="N74" s="205">
        <f>H74/$H$51</f>
        <v>1.0481927710843373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zoomScale="75" zoomScaleNormal="75" zoomScaleSheetLayoutView="70" workbookViewId="0">
      <selection activeCell="C23" sqref="C23"/>
    </sheetView>
  </sheetViews>
  <sheetFormatPr defaultColWidth="9.08984375" defaultRowHeight="12.5" x14ac:dyDescent="0.25"/>
  <cols>
    <col min="1" max="1" width="3" style="204" customWidth="1"/>
    <col min="2" max="2" width="9.08984375" style="204"/>
    <col min="3" max="8" width="10.08984375" style="204" customWidth="1"/>
    <col min="9" max="9" width="3.54296875" style="204" customWidth="1"/>
    <col min="10" max="16384" width="9.08984375" style="204"/>
  </cols>
  <sheetData>
    <row r="1" spans="1:13" ht="15.5" x14ac:dyDescent="0.35">
      <c r="A1" s="236" t="s">
        <v>282</v>
      </c>
      <c r="B1" s="236"/>
      <c r="C1" s="236"/>
    </row>
    <row r="2" spans="1:13" ht="15.5" x14ac:dyDescent="0.35">
      <c r="A2" s="235" t="s">
        <v>330</v>
      </c>
      <c r="B2" s="234"/>
      <c r="C2" s="234"/>
    </row>
    <row r="3" spans="1:13" ht="13" x14ac:dyDescent="0.3">
      <c r="A3" s="233" t="s">
        <v>281</v>
      </c>
    </row>
    <row r="4" spans="1:13" x14ac:dyDescent="0.25">
      <c r="A4" s="232" t="s">
        <v>280</v>
      </c>
    </row>
    <row r="5" spans="1:13" x14ac:dyDescent="0.25">
      <c r="A5" s="231" t="str">
        <f ca="1">CELL("filename")</f>
        <v>S:\School Growth &amp; Development\Active Projects or Drafts\Nevada\Doral Academy of Northern Nevada (DANN)\Charter Development\Amendment Applications\Attachments_Campus Exp\A6_School Budget\[6 - School Budget_v2.xlsx]5-Year DANN</v>
      </c>
    </row>
    <row r="6" spans="1:13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3" ht="14" x14ac:dyDescent="0.25">
      <c r="A7" s="214"/>
      <c r="B7" s="230" t="s">
        <v>279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1:13" ht="14" x14ac:dyDescent="0.25">
      <c r="A8" s="214"/>
      <c r="B8" s="230" t="s">
        <v>278</v>
      </c>
      <c r="C8" s="214"/>
      <c r="D8" s="214"/>
      <c r="E8" s="214"/>
      <c r="F8" s="214"/>
      <c r="G8" s="214"/>
      <c r="H8" s="214"/>
      <c r="I8" s="214"/>
      <c r="J8" s="214"/>
      <c r="K8" s="214"/>
    </row>
    <row r="9" spans="1:13" ht="14" x14ac:dyDescent="0.25">
      <c r="A9" s="214"/>
      <c r="B9" s="230"/>
      <c r="C9" s="214"/>
      <c r="D9" s="214"/>
      <c r="E9" s="214"/>
      <c r="F9" s="214"/>
      <c r="G9" s="214"/>
      <c r="H9" s="214"/>
      <c r="I9" s="214"/>
      <c r="J9" s="214"/>
      <c r="K9" s="214"/>
    </row>
    <row r="10" spans="1:13" ht="14" x14ac:dyDescent="0.3">
      <c r="A10" s="214"/>
      <c r="B10" s="225" t="s">
        <v>277</v>
      </c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3" ht="14" x14ac:dyDescent="0.3">
      <c r="A11" s="214"/>
      <c r="B11" s="229" t="s">
        <v>276</v>
      </c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3" ht="13" thickBot="1" x14ac:dyDescent="0.3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ht="14" x14ac:dyDescent="0.25">
      <c r="A13" s="214"/>
      <c r="B13" s="371" t="s">
        <v>271</v>
      </c>
      <c r="C13" s="374" t="s">
        <v>270</v>
      </c>
      <c r="D13" s="375"/>
      <c r="E13" s="375"/>
      <c r="F13" s="375"/>
      <c r="G13" s="375"/>
      <c r="H13" s="376"/>
      <c r="I13" s="214"/>
      <c r="J13" s="214"/>
      <c r="K13" s="214"/>
      <c r="L13" s="214"/>
      <c r="M13" s="214"/>
    </row>
    <row r="14" spans="1:13" ht="14" x14ac:dyDescent="0.25">
      <c r="A14" s="214"/>
      <c r="B14" s="372"/>
      <c r="C14" s="228">
        <v>2022</v>
      </c>
      <c r="D14" s="221">
        <f>+C15</f>
        <v>2023</v>
      </c>
      <c r="E14" s="221">
        <f>+D15</f>
        <v>2024</v>
      </c>
      <c r="F14" s="221">
        <f>+E15</f>
        <v>2025</v>
      </c>
      <c r="G14" s="221">
        <f>+F15</f>
        <v>2026</v>
      </c>
      <c r="H14" s="220">
        <f>+G15</f>
        <v>2027</v>
      </c>
      <c r="I14" s="214"/>
      <c r="J14" s="214"/>
      <c r="K14" s="214"/>
      <c r="L14" s="214"/>
      <c r="M14" s="214"/>
    </row>
    <row r="15" spans="1:13" ht="14.5" thickBot="1" x14ac:dyDescent="0.3">
      <c r="A15" s="214"/>
      <c r="B15" s="373"/>
      <c r="C15" s="219">
        <f t="shared" ref="C15:H15" si="0">+C14+1</f>
        <v>2023</v>
      </c>
      <c r="D15" s="218">
        <f t="shared" si="0"/>
        <v>2024</v>
      </c>
      <c r="E15" s="218">
        <f t="shared" si="0"/>
        <v>2025</v>
      </c>
      <c r="F15" s="218">
        <f t="shared" si="0"/>
        <v>2026</v>
      </c>
      <c r="G15" s="218">
        <f t="shared" si="0"/>
        <v>2027</v>
      </c>
      <c r="H15" s="217">
        <f t="shared" si="0"/>
        <v>2028</v>
      </c>
      <c r="I15" s="214"/>
      <c r="J15" s="214"/>
      <c r="K15" s="214"/>
      <c r="L15" s="214"/>
      <c r="M15" s="214"/>
    </row>
    <row r="16" spans="1:13" ht="14" x14ac:dyDescent="0.25">
      <c r="A16" s="214"/>
      <c r="B16" s="215" t="s">
        <v>269</v>
      </c>
      <c r="C16" s="216"/>
      <c r="D16" s="216"/>
      <c r="E16" s="216"/>
      <c r="F16" s="216"/>
      <c r="G16" s="216"/>
      <c r="H16" s="216"/>
      <c r="I16" s="214"/>
      <c r="J16" s="214"/>
      <c r="K16" s="214"/>
      <c r="L16" s="214"/>
      <c r="M16" s="214"/>
    </row>
    <row r="17" spans="1:14" ht="14" x14ac:dyDescent="0.25">
      <c r="A17" s="214"/>
      <c r="B17" s="215" t="s">
        <v>268</v>
      </c>
      <c r="C17" s="212">
        <f>ROUND(C38*0.97,0)</f>
        <v>97</v>
      </c>
      <c r="D17" s="212">
        <f t="shared" ref="D17:H17" si="1">ROUND(D38*0.97,0)</f>
        <v>194</v>
      </c>
      <c r="E17" s="212">
        <f t="shared" si="1"/>
        <v>194</v>
      </c>
      <c r="F17" s="212">
        <f t="shared" si="1"/>
        <v>194</v>
      </c>
      <c r="G17" s="212">
        <f t="shared" si="1"/>
        <v>194</v>
      </c>
      <c r="H17" s="212">
        <f t="shared" si="1"/>
        <v>194</v>
      </c>
      <c r="I17" s="214"/>
      <c r="J17" s="214"/>
      <c r="K17" s="214"/>
      <c r="L17" s="214"/>
      <c r="M17" s="214"/>
    </row>
    <row r="18" spans="1:14" ht="14" x14ac:dyDescent="0.25">
      <c r="A18" s="214"/>
      <c r="B18" s="211">
        <v>1</v>
      </c>
      <c r="C18" s="212">
        <f t="shared" ref="C18:H18" si="2">ROUND(C39*0.97,0)</f>
        <v>101</v>
      </c>
      <c r="D18" s="212">
        <f t="shared" si="2"/>
        <v>202</v>
      </c>
      <c r="E18" s="212">
        <f t="shared" si="2"/>
        <v>202</v>
      </c>
      <c r="F18" s="212">
        <f t="shared" si="2"/>
        <v>202</v>
      </c>
      <c r="G18" s="212">
        <f t="shared" si="2"/>
        <v>202</v>
      </c>
      <c r="H18" s="212">
        <f t="shared" si="2"/>
        <v>202</v>
      </c>
      <c r="I18" s="214"/>
      <c r="J18" s="214"/>
      <c r="K18" s="214"/>
      <c r="L18" s="214"/>
      <c r="M18" s="214"/>
    </row>
    <row r="19" spans="1:14" ht="14" x14ac:dyDescent="0.25">
      <c r="A19" s="214"/>
      <c r="B19" s="211">
        <v>2</v>
      </c>
      <c r="C19" s="212">
        <f t="shared" ref="C19:H19" si="3">ROUND(C40*0.97,0)</f>
        <v>101</v>
      </c>
      <c r="D19" s="212">
        <f t="shared" si="3"/>
        <v>202</v>
      </c>
      <c r="E19" s="212">
        <f t="shared" si="3"/>
        <v>202</v>
      </c>
      <c r="F19" s="212">
        <f t="shared" si="3"/>
        <v>202</v>
      </c>
      <c r="G19" s="212">
        <f t="shared" si="3"/>
        <v>202</v>
      </c>
      <c r="H19" s="212">
        <f t="shared" si="3"/>
        <v>202</v>
      </c>
      <c r="I19" s="214"/>
      <c r="J19" s="214"/>
      <c r="K19" s="214"/>
      <c r="L19" s="214"/>
      <c r="M19" s="214"/>
    </row>
    <row r="20" spans="1:14" ht="14" x14ac:dyDescent="0.25">
      <c r="A20" s="214"/>
      <c r="B20" s="211">
        <v>3</v>
      </c>
      <c r="C20" s="212">
        <f t="shared" ref="C20:H20" si="4">ROUND(C41*0.97,0)</f>
        <v>101</v>
      </c>
      <c r="D20" s="212">
        <f t="shared" si="4"/>
        <v>202</v>
      </c>
      <c r="E20" s="212">
        <f t="shared" si="4"/>
        <v>202</v>
      </c>
      <c r="F20" s="212">
        <f t="shared" si="4"/>
        <v>202</v>
      </c>
      <c r="G20" s="212">
        <f t="shared" si="4"/>
        <v>202</v>
      </c>
      <c r="H20" s="212">
        <f t="shared" si="4"/>
        <v>202</v>
      </c>
      <c r="I20" s="214"/>
      <c r="J20" s="214"/>
      <c r="K20" s="214"/>
      <c r="L20" s="214"/>
      <c r="M20" s="214"/>
    </row>
    <row r="21" spans="1:14" ht="14" x14ac:dyDescent="0.25">
      <c r="A21" s="214"/>
      <c r="B21" s="211">
        <v>4</v>
      </c>
      <c r="C21" s="212">
        <f t="shared" ref="C21:H21" si="5">ROUND(C42*0.97,0)</f>
        <v>101</v>
      </c>
      <c r="D21" s="212">
        <f t="shared" si="5"/>
        <v>177</v>
      </c>
      <c r="E21" s="212">
        <f t="shared" si="5"/>
        <v>202</v>
      </c>
      <c r="F21" s="212">
        <f t="shared" si="5"/>
        <v>202</v>
      </c>
      <c r="G21" s="212">
        <f t="shared" si="5"/>
        <v>202</v>
      </c>
      <c r="H21" s="212">
        <f t="shared" si="5"/>
        <v>202</v>
      </c>
      <c r="I21" s="214"/>
      <c r="J21" s="214"/>
      <c r="K21" s="214"/>
      <c r="L21" s="214"/>
      <c r="M21" s="214"/>
    </row>
    <row r="22" spans="1:14" ht="14" x14ac:dyDescent="0.25">
      <c r="A22" s="214"/>
      <c r="B22" s="211">
        <v>5</v>
      </c>
      <c r="C22" s="212">
        <f t="shared" ref="C22:H22" si="6">ROUND(C43*0.97,0)</f>
        <v>105</v>
      </c>
      <c r="D22" s="212">
        <f t="shared" si="6"/>
        <v>157</v>
      </c>
      <c r="E22" s="212">
        <f t="shared" si="6"/>
        <v>183</v>
      </c>
      <c r="F22" s="212">
        <f t="shared" si="6"/>
        <v>210</v>
      </c>
      <c r="G22" s="212">
        <f t="shared" si="6"/>
        <v>210</v>
      </c>
      <c r="H22" s="212">
        <f t="shared" si="6"/>
        <v>210</v>
      </c>
      <c r="I22" s="214"/>
      <c r="J22" s="214"/>
      <c r="K22" s="214"/>
      <c r="L22" s="214"/>
      <c r="M22" s="214"/>
    </row>
    <row r="23" spans="1:14" ht="14" x14ac:dyDescent="0.25">
      <c r="A23" s="214"/>
      <c r="B23" s="211">
        <v>6</v>
      </c>
      <c r="C23" s="212">
        <f t="shared" ref="C23:H23" si="7">ROUND(C44*0.97,0)</f>
        <v>120</v>
      </c>
      <c r="D23" s="212">
        <f t="shared" si="7"/>
        <v>120</v>
      </c>
      <c r="E23" s="212">
        <f t="shared" si="7"/>
        <v>241</v>
      </c>
      <c r="F23" s="212">
        <f t="shared" si="7"/>
        <v>241</v>
      </c>
      <c r="G23" s="212">
        <f t="shared" si="7"/>
        <v>241</v>
      </c>
      <c r="H23" s="212">
        <f t="shared" si="7"/>
        <v>241</v>
      </c>
      <c r="I23" s="214"/>
      <c r="J23" s="214"/>
      <c r="K23" s="214"/>
      <c r="L23" s="214"/>
      <c r="M23" s="214"/>
    </row>
    <row r="24" spans="1:14" ht="14" x14ac:dyDescent="0.25">
      <c r="A24" s="214"/>
      <c r="B24" s="211">
        <v>7</v>
      </c>
      <c r="C24" s="212">
        <f t="shared" ref="C24:H24" si="8">ROUND(C45*0.97,0)</f>
        <v>120</v>
      </c>
      <c r="D24" s="212">
        <f t="shared" si="8"/>
        <v>120</v>
      </c>
      <c r="E24" s="212">
        <f t="shared" si="8"/>
        <v>120</v>
      </c>
      <c r="F24" s="212">
        <f t="shared" si="8"/>
        <v>241</v>
      </c>
      <c r="G24" s="212">
        <f t="shared" si="8"/>
        <v>241</v>
      </c>
      <c r="H24" s="212">
        <f t="shared" si="8"/>
        <v>241</v>
      </c>
      <c r="I24" s="214"/>
      <c r="J24" s="214"/>
      <c r="K24" s="214"/>
      <c r="L24" s="214"/>
      <c r="M24" s="214"/>
    </row>
    <row r="25" spans="1:14" ht="14" x14ac:dyDescent="0.25">
      <c r="A25" s="214"/>
      <c r="B25" s="211">
        <v>8</v>
      </c>
      <c r="C25" s="212">
        <f t="shared" ref="C25:H25" si="9">ROUND(C46*0.97,0)</f>
        <v>90</v>
      </c>
      <c r="D25" s="212">
        <f t="shared" si="9"/>
        <v>120</v>
      </c>
      <c r="E25" s="212">
        <f t="shared" si="9"/>
        <v>120</v>
      </c>
      <c r="F25" s="212">
        <f t="shared" si="9"/>
        <v>120</v>
      </c>
      <c r="G25" s="212">
        <f t="shared" si="9"/>
        <v>241</v>
      </c>
      <c r="H25" s="212">
        <f t="shared" si="9"/>
        <v>241</v>
      </c>
      <c r="I25" s="214"/>
      <c r="J25" s="214"/>
      <c r="K25" s="214"/>
      <c r="L25" s="214"/>
      <c r="M25" s="214"/>
    </row>
    <row r="26" spans="1:14" ht="14" x14ac:dyDescent="0.25">
      <c r="A26" s="214"/>
      <c r="B26" s="211">
        <v>9</v>
      </c>
      <c r="C26" s="209">
        <f>ROUND(C47*0.97,0)</f>
        <v>0</v>
      </c>
      <c r="D26" s="209">
        <f t="shared" ref="D26:H26" si="10">ROUND(D47*0.97,0)</f>
        <v>0</v>
      </c>
      <c r="E26" s="209">
        <f t="shared" si="10"/>
        <v>0</v>
      </c>
      <c r="F26" s="209">
        <f t="shared" si="10"/>
        <v>0</v>
      </c>
      <c r="G26" s="209">
        <f t="shared" si="10"/>
        <v>0</v>
      </c>
      <c r="H26" s="209">
        <f t="shared" si="10"/>
        <v>0</v>
      </c>
      <c r="I26" s="214"/>
      <c r="J26" s="214"/>
      <c r="K26" s="214"/>
      <c r="L26" s="214"/>
      <c r="M26" s="214"/>
    </row>
    <row r="27" spans="1:14" ht="14" x14ac:dyDescent="0.25">
      <c r="A27" s="214"/>
      <c r="B27" s="211">
        <v>10</v>
      </c>
      <c r="C27" s="209">
        <f t="shared" ref="C27:H27" si="11">ROUND(C48*0.97,0)</f>
        <v>0</v>
      </c>
      <c r="D27" s="209">
        <f t="shared" si="11"/>
        <v>0</v>
      </c>
      <c r="E27" s="209">
        <f t="shared" si="11"/>
        <v>0</v>
      </c>
      <c r="F27" s="209">
        <f t="shared" si="11"/>
        <v>0</v>
      </c>
      <c r="G27" s="209">
        <f t="shared" si="11"/>
        <v>0</v>
      </c>
      <c r="H27" s="209">
        <f t="shared" si="11"/>
        <v>0</v>
      </c>
      <c r="I27" s="214"/>
      <c r="J27" s="214"/>
      <c r="K27" s="214"/>
      <c r="L27" s="214"/>
      <c r="M27" s="214"/>
    </row>
    <row r="28" spans="1:14" ht="14" x14ac:dyDescent="0.25">
      <c r="A28" s="214"/>
      <c r="B28" s="211">
        <v>11</v>
      </c>
      <c r="C28" s="209">
        <f t="shared" ref="C28:H28" si="12">ROUND(C49*0.97,0)</f>
        <v>0</v>
      </c>
      <c r="D28" s="209">
        <f t="shared" si="12"/>
        <v>0</v>
      </c>
      <c r="E28" s="209">
        <f t="shared" si="12"/>
        <v>0</v>
      </c>
      <c r="F28" s="209">
        <f t="shared" si="12"/>
        <v>0</v>
      </c>
      <c r="G28" s="209">
        <f t="shared" si="12"/>
        <v>0</v>
      </c>
      <c r="H28" s="209">
        <f t="shared" si="12"/>
        <v>0</v>
      </c>
      <c r="I28" s="214"/>
      <c r="J28" s="214"/>
      <c r="K28" s="214"/>
      <c r="L28" s="214"/>
      <c r="M28" s="214"/>
    </row>
    <row r="29" spans="1:14" ht="14" x14ac:dyDescent="0.25">
      <c r="A29" s="214"/>
      <c r="B29" s="210">
        <v>12</v>
      </c>
      <c r="C29" s="209">
        <f t="shared" ref="C29:H29" si="13">ROUND(C50*0.97,0)</f>
        <v>0</v>
      </c>
      <c r="D29" s="209">
        <f t="shared" si="13"/>
        <v>0</v>
      </c>
      <c r="E29" s="209">
        <f t="shared" si="13"/>
        <v>0</v>
      </c>
      <c r="F29" s="209">
        <f t="shared" si="13"/>
        <v>0</v>
      </c>
      <c r="G29" s="209">
        <f t="shared" si="13"/>
        <v>0</v>
      </c>
      <c r="H29" s="209">
        <f t="shared" si="13"/>
        <v>0</v>
      </c>
      <c r="I29" s="214"/>
      <c r="J29" s="214"/>
      <c r="K29" s="214"/>
      <c r="L29" s="214"/>
      <c r="M29" s="214"/>
    </row>
    <row r="30" spans="1:14" ht="14" x14ac:dyDescent="0.3">
      <c r="A30" s="214"/>
      <c r="B30" s="207" t="s">
        <v>197</v>
      </c>
      <c r="C30" s="206">
        <f t="shared" ref="C30:H30" si="14">SUM(C16:C29)</f>
        <v>936</v>
      </c>
      <c r="D30" s="206">
        <f t="shared" si="14"/>
        <v>1494</v>
      </c>
      <c r="E30" s="206">
        <f t="shared" si="14"/>
        <v>1666</v>
      </c>
      <c r="F30" s="206">
        <f t="shared" si="14"/>
        <v>1814</v>
      </c>
      <c r="G30" s="206">
        <f t="shared" si="14"/>
        <v>1935</v>
      </c>
      <c r="H30" s="206">
        <f t="shared" si="14"/>
        <v>1935</v>
      </c>
      <c r="I30" s="214"/>
      <c r="J30" s="205">
        <f>D30/$D$51</f>
        <v>0.97012987012987018</v>
      </c>
      <c r="K30" s="205">
        <f>E30/$E$51</f>
        <v>0.97029702970297027</v>
      </c>
      <c r="L30" s="205">
        <f>F30/$F$51</f>
        <v>0.97109207708779444</v>
      </c>
      <c r="M30" s="205">
        <f>G30/$G$51</f>
        <v>0.97138554216867468</v>
      </c>
      <c r="N30" s="205">
        <f>H30/$H$51</f>
        <v>0.97138554216867468</v>
      </c>
    </row>
    <row r="31" spans="1:14" ht="13" x14ac:dyDescent="0.3">
      <c r="A31" s="214"/>
      <c r="B31" s="214"/>
      <c r="C31" s="214"/>
      <c r="D31" s="214"/>
      <c r="E31" s="214"/>
      <c r="F31" s="214"/>
      <c r="G31" s="214"/>
      <c r="H31" s="214"/>
      <c r="I31" s="214"/>
      <c r="J31" s="213"/>
      <c r="K31" s="213"/>
      <c r="L31" s="213"/>
      <c r="M31" s="213"/>
      <c r="N31" s="208"/>
    </row>
    <row r="32" spans="1:14" ht="14" x14ac:dyDescent="0.3">
      <c r="A32" s="214"/>
      <c r="B32" s="227" t="s">
        <v>275</v>
      </c>
      <c r="C32" s="214"/>
      <c r="D32" s="214"/>
      <c r="E32" s="214"/>
      <c r="F32" s="214"/>
      <c r="G32" s="214"/>
      <c r="H32" s="214"/>
      <c r="I32" s="214"/>
      <c r="J32" s="213"/>
      <c r="K32" s="213"/>
      <c r="L32" s="213"/>
      <c r="M32" s="213"/>
      <c r="N32" s="208"/>
    </row>
    <row r="33" spans="1:14" ht="13.5" thickBot="1" x14ac:dyDescent="0.35">
      <c r="A33" s="214"/>
      <c r="B33" s="214"/>
      <c r="C33" s="214"/>
      <c r="D33" s="214"/>
      <c r="E33" s="214"/>
      <c r="F33" s="214"/>
      <c r="G33" s="214"/>
      <c r="H33" s="214"/>
      <c r="I33" s="214"/>
      <c r="J33" s="213"/>
      <c r="K33" s="213"/>
      <c r="L33" s="213"/>
      <c r="M33" s="213"/>
      <c r="N33" s="208"/>
    </row>
    <row r="34" spans="1:14" ht="15.75" customHeight="1" x14ac:dyDescent="0.3">
      <c r="A34" s="214"/>
      <c r="B34" s="371" t="s">
        <v>271</v>
      </c>
      <c r="C34" s="374" t="s">
        <v>270</v>
      </c>
      <c r="D34" s="375"/>
      <c r="E34" s="375"/>
      <c r="F34" s="375"/>
      <c r="G34" s="375"/>
      <c r="H34" s="376"/>
      <c r="I34" s="214"/>
      <c r="J34" s="213"/>
      <c r="K34" s="213"/>
      <c r="L34" s="213"/>
      <c r="M34" s="213"/>
      <c r="N34" s="208"/>
    </row>
    <row r="35" spans="1:14" ht="14" x14ac:dyDescent="0.3">
      <c r="A35" s="214"/>
      <c r="B35" s="372"/>
      <c r="C35" s="222">
        <f>+C14</f>
        <v>2022</v>
      </c>
      <c r="D35" s="221">
        <f>+C36</f>
        <v>2023</v>
      </c>
      <c r="E35" s="221">
        <f>+D36</f>
        <v>2024</v>
      </c>
      <c r="F35" s="221">
        <f>+E36</f>
        <v>2025</v>
      </c>
      <c r="G35" s="221">
        <f>+F36</f>
        <v>2026</v>
      </c>
      <c r="H35" s="220">
        <f>+G36</f>
        <v>2027</v>
      </c>
      <c r="I35" s="214"/>
      <c r="J35" s="213"/>
      <c r="K35" s="213"/>
      <c r="L35" s="213"/>
      <c r="M35" s="213"/>
      <c r="N35" s="208"/>
    </row>
    <row r="36" spans="1:14" ht="14.5" thickBot="1" x14ac:dyDescent="0.35">
      <c r="A36" s="214"/>
      <c r="B36" s="373"/>
      <c r="C36" s="219">
        <f t="shared" ref="C36:H36" si="15">+C35+1</f>
        <v>2023</v>
      </c>
      <c r="D36" s="218">
        <f t="shared" si="15"/>
        <v>2024</v>
      </c>
      <c r="E36" s="218">
        <f t="shared" si="15"/>
        <v>2025</v>
      </c>
      <c r="F36" s="218">
        <f t="shared" si="15"/>
        <v>2026</v>
      </c>
      <c r="G36" s="218">
        <f t="shared" si="15"/>
        <v>2027</v>
      </c>
      <c r="H36" s="217">
        <f t="shared" si="15"/>
        <v>2028</v>
      </c>
      <c r="I36" s="214"/>
      <c r="J36" s="213"/>
      <c r="K36" s="213"/>
      <c r="L36" s="213"/>
      <c r="M36" s="213"/>
      <c r="N36" s="208"/>
    </row>
    <row r="37" spans="1:14" ht="14" x14ac:dyDescent="0.3">
      <c r="A37" s="214"/>
      <c r="B37" s="215" t="s">
        <v>269</v>
      </c>
      <c r="C37" s="216"/>
      <c r="D37" s="216"/>
      <c r="E37" s="216"/>
      <c r="F37" s="216"/>
      <c r="G37" s="216"/>
      <c r="H37" s="216"/>
      <c r="I37" s="214"/>
      <c r="J37" s="213"/>
      <c r="K37" s="213"/>
      <c r="L37" s="213"/>
      <c r="M37" s="213"/>
      <c r="N37" s="208"/>
    </row>
    <row r="38" spans="1:14" ht="14" x14ac:dyDescent="0.3">
      <c r="A38" s="214"/>
      <c r="B38" s="215" t="s">
        <v>268</v>
      </c>
      <c r="C38" s="212">
        <f>'5-Year DANN System'!B6</f>
        <v>100</v>
      </c>
      <c r="D38" s="212">
        <f>'5-Year DANN System'!C6</f>
        <v>200</v>
      </c>
      <c r="E38" s="212">
        <f>'5-Year DANN System'!D6</f>
        <v>200</v>
      </c>
      <c r="F38" s="212">
        <f>'5-Year DANN System'!E6</f>
        <v>200</v>
      </c>
      <c r="G38" s="212">
        <f>'5-Year DANN System'!F6</f>
        <v>200</v>
      </c>
      <c r="H38" s="212">
        <f>'5-Year DANN System'!G6</f>
        <v>200</v>
      </c>
      <c r="I38" s="214"/>
      <c r="J38" s="213"/>
      <c r="K38" s="213"/>
      <c r="L38" s="213"/>
      <c r="M38" s="213"/>
      <c r="N38" s="208"/>
    </row>
    <row r="39" spans="1:14" ht="14" x14ac:dyDescent="0.3">
      <c r="A39" s="214"/>
      <c r="B39" s="211">
        <v>1</v>
      </c>
      <c r="C39" s="212">
        <f>'5-Year DANN System'!B7</f>
        <v>104</v>
      </c>
      <c r="D39" s="212">
        <f>'5-Year DANN System'!C7</f>
        <v>208</v>
      </c>
      <c r="E39" s="212">
        <f>'5-Year DANN System'!D7</f>
        <v>208</v>
      </c>
      <c r="F39" s="212">
        <f>'5-Year DANN System'!E7</f>
        <v>208</v>
      </c>
      <c r="G39" s="212">
        <f>'5-Year DANN System'!F7</f>
        <v>208</v>
      </c>
      <c r="H39" s="212">
        <f>'5-Year DANN System'!G7</f>
        <v>208</v>
      </c>
      <c r="I39" s="214"/>
      <c r="J39" s="213"/>
      <c r="K39" s="213"/>
      <c r="L39" s="213"/>
      <c r="M39" s="213"/>
      <c r="N39" s="208"/>
    </row>
    <row r="40" spans="1:14" ht="14" x14ac:dyDescent="0.3">
      <c r="A40" s="214"/>
      <c r="B40" s="211">
        <v>2</v>
      </c>
      <c r="C40" s="212">
        <f>'5-Year DANN System'!B8</f>
        <v>104</v>
      </c>
      <c r="D40" s="212">
        <f>'5-Year DANN System'!C8</f>
        <v>208</v>
      </c>
      <c r="E40" s="212">
        <f>'5-Year DANN System'!D8</f>
        <v>208</v>
      </c>
      <c r="F40" s="212">
        <f>'5-Year DANN System'!E8</f>
        <v>208</v>
      </c>
      <c r="G40" s="212">
        <f>'5-Year DANN System'!F8</f>
        <v>208</v>
      </c>
      <c r="H40" s="212">
        <f>'5-Year DANN System'!G8</f>
        <v>208</v>
      </c>
      <c r="I40" s="214"/>
      <c r="J40" s="213"/>
      <c r="K40" s="213"/>
      <c r="L40" s="213"/>
      <c r="M40" s="213"/>
      <c r="N40" s="208"/>
    </row>
    <row r="41" spans="1:14" ht="14" x14ac:dyDescent="0.3">
      <c r="A41" s="214"/>
      <c r="B41" s="211">
        <v>3</v>
      </c>
      <c r="C41" s="212">
        <f>'5-Year DANN System'!B9</f>
        <v>104</v>
      </c>
      <c r="D41" s="212">
        <f>'5-Year DANN System'!C9</f>
        <v>208</v>
      </c>
      <c r="E41" s="212">
        <f>'5-Year DANN System'!D9</f>
        <v>208</v>
      </c>
      <c r="F41" s="212">
        <f>'5-Year DANN System'!E9</f>
        <v>208</v>
      </c>
      <c r="G41" s="212">
        <f>'5-Year DANN System'!F9</f>
        <v>208</v>
      </c>
      <c r="H41" s="212">
        <f>'5-Year DANN System'!G9</f>
        <v>208</v>
      </c>
      <c r="I41" s="214"/>
      <c r="J41" s="213"/>
      <c r="K41" s="213"/>
      <c r="L41" s="213"/>
      <c r="M41" s="213"/>
      <c r="N41" s="208"/>
    </row>
    <row r="42" spans="1:14" ht="14" x14ac:dyDescent="0.3">
      <c r="A42" s="214"/>
      <c r="B42" s="211">
        <v>4</v>
      </c>
      <c r="C42" s="212">
        <f>'5-Year DANN System'!B10</f>
        <v>104</v>
      </c>
      <c r="D42" s="212">
        <f>'5-Year DANN System'!C10</f>
        <v>182</v>
      </c>
      <c r="E42" s="212">
        <f>'5-Year DANN System'!D10</f>
        <v>208</v>
      </c>
      <c r="F42" s="212">
        <f>'5-Year DANN System'!E10</f>
        <v>208</v>
      </c>
      <c r="G42" s="212">
        <f>'5-Year DANN System'!F10</f>
        <v>208</v>
      </c>
      <c r="H42" s="212">
        <f>'5-Year DANN System'!G10</f>
        <v>208</v>
      </c>
      <c r="I42" s="214"/>
      <c r="J42" s="213"/>
      <c r="K42" s="213"/>
      <c r="L42" s="213"/>
      <c r="M42" s="213"/>
      <c r="N42" s="208"/>
    </row>
    <row r="43" spans="1:14" ht="14" x14ac:dyDescent="0.3">
      <c r="A43" s="214"/>
      <c r="B43" s="211">
        <v>5</v>
      </c>
      <c r="C43" s="212">
        <f>'5-Year DANN System'!B11</f>
        <v>108</v>
      </c>
      <c r="D43" s="212">
        <f>'5-Year DANN System'!C11</f>
        <v>162</v>
      </c>
      <c r="E43" s="212">
        <f>'5-Year DANN System'!D11</f>
        <v>189</v>
      </c>
      <c r="F43" s="212">
        <f>'5-Year DANN System'!E11</f>
        <v>216</v>
      </c>
      <c r="G43" s="212">
        <f>'5-Year DANN System'!F11</f>
        <v>216</v>
      </c>
      <c r="H43" s="212">
        <f>'5-Year DANN System'!G11</f>
        <v>216</v>
      </c>
      <c r="I43" s="214"/>
      <c r="J43" s="213"/>
      <c r="K43" s="213"/>
      <c r="L43" s="213"/>
      <c r="M43" s="213"/>
      <c r="N43" s="208"/>
    </row>
    <row r="44" spans="1:14" ht="14" x14ac:dyDescent="0.3">
      <c r="A44" s="214"/>
      <c r="B44" s="211">
        <v>6</v>
      </c>
      <c r="C44" s="212">
        <f>'5-Year DANN System'!B12</f>
        <v>124</v>
      </c>
      <c r="D44" s="212">
        <f>'5-Year DANN System'!C12</f>
        <v>124</v>
      </c>
      <c r="E44" s="212">
        <f>'5-Year DANN System'!D12</f>
        <v>248</v>
      </c>
      <c r="F44" s="212">
        <f>'5-Year DANN System'!E12</f>
        <v>248</v>
      </c>
      <c r="G44" s="212">
        <f>'5-Year DANN System'!F12</f>
        <v>248</v>
      </c>
      <c r="H44" s="212">
        <f>'5-Year DANN System'!G12</f>
        <v>248</v>
      </c>
      <c r="I44" s="214"/>
      <c r="J44" s="213"/>
      <c r="K44" s="213"/>
      <c r="L44" s="213"/>
      <c r="M44" s="213"/>
      <c r="N44" s="208"/>
    </row>
    <row r="45" spans="1:14" ht="14" x14ac:dyDescent="0.3">
      <c r="A45" s="214"/>
      <c r="B45" s="211">
        <v>7</v>
      </c>
      <c r="C45" s="212">
        <f>'5-Year DANN System'!B13</f>
        <v>124</v>
      </c>
      <c r="D45" s="212">
        <f>'5-Year DANN System'!C13</f>
        <v>124</v>
      </c>
      <c r="E45" s="212">
        <f>'5-Year DANN System'!D13</f>
        <v>124</v>
      </c>
      <c r="F45" s="212">
        <f>'5-Year DANN System'!E13</f>
        <v>248</v>
      </c>
      <c r="G45" s="212">
        <f>'5-Year DANN System'!F13</f>
        <v>248</v>
      </c>
      <c r="H45" s="212">
        <f>'5-Year DANN System'!G13</f>
        <v>248</v>
      </c>
      <c r="I45" s="214"/>
      <c r="J45" s="213"/>
      <c r="K45" s="213"/>
      <c r="L45" s="213"/>
      <c r="M45" s="213"/>
      <c r="N45" s="208"/>
    </row>
    <row r="46" spans="1:14" ht="14" x14ac:dyDescent="0.3">
      <c r="A46" s="214"/>
      <c r="B46" s="211">
        <v>8</v>
      </c>
      <c r="C46" s="212">
        <f>'5-Year DANN System'!B14</f>
        <v>93</v>
      </c>
      <c r="D46" s="212">
        <f>'5-Year DANN System'!C14</f>
        <v>124</v>
      </c>
      <c r="E46" s="212">
        <f>'5-Year DANN System'!D14</f>
        <v>124</v>
      </c>
      <c r="F46" s="212">
        <f>'5-Year DANN System'!E14</f>
        <v>124</v>
      </c>
      <c r="G46" s="212">
        <f>'5-Year DANN System'!F14</f>
        <v>248</v>
      </c>
      <c r="H46" s="212">
        <f>'5-Year DANN System'!G14</f>
        <v>248</v>
      </c>
      <c r="I46" s="214"/>
      <c r="J46" s="213"/>
      <c r="K46" s="213"/>
      <c r="L46" s="213"/>
      <c r="M46" s="213"/>
      <c r="N46" s="208"/>
    </row>
    <row r="47" spans="1:14" ht="14" x14ac:dyDescent="0.3">
      <c r="A47" s="214"/>
      <c r="B47" s="211">
        <v>9</v>
      </c>
      <c r="C47" s="212">
        <f>'5-Year DANN System'!B15</f>
        <v>0</v>
      </c>
      <c r="D47" s="212">
        <f>'5-Year DANN System'!C15</f>
        <v>0</v>
      </c>
      <c r="E47" s="212">
        <f>'5-Year DANN System'!D15</f>
        <v>0</v>
      </c>
      <c r="F47" s="212">
        <f>'5-Year DANN System'!E15</f>
        <v>0</v>
      </c>
      <c r="G47" s="212">
        <f>'5-Year DANN System'!F15</f>
        <v>0</v>
      </c>
      <c r="H47" s="212">
        <f>'5-Year DANN System'!G15</f>
        <v>0</v>
      </c>
      <c r="I47" s="214"/>
      <c r="J47" s="213"/>
      <c r="K47" s="213"/>
      <c r="L47" s="213"/>
      <c r="M47" s="213"/>
      <c r="N47" s="208"/>
    </row>
    <row r="48" spans="1:14" ht="14" x14ac:dyDescent="0.3">
      <c r="A48" s="214"/>
      <c r="B48" s="211">
        <v>10</v>
      </c>
      <c r="C48" s="212">
        <f>'5-Year DANN System'!B16</f>
        <v>0</v>
      </c>
      <c r="D48" s="212">
        <f>'5-Year DANN System'!C16</f>
        <v>0</v>
      </c>
      <c r="E48" s="212">
        <f>'5-Year DANN System'!D16</f>
        <v>0</v>
      </c>
      <c r="F48" s="212">
        <f>'5-Year DANN System'!E16</f>
        <v>0</v>
      </c>
      <c r="G48" s="212">
        <f>'5-Year DANN System'!F16</f>
        <v>0</v>
      </c>
      <c r="H48" s="212">
        <f>'5-Year DANN System'!G16</f>
        <v>0</v>
      </c>
      <c r="I48" s="214"/>
      <c r="J48" s="213"/>
      <c r="K48" s="213"/>
      <c r="L48" s="213"/>
      <c r="M48" s="213"/>
      <c r="N48" s="208"/>
    </row>
    <row r="49" spans="1:14" ht="14" x14ac:dyDescent="0.3">
      <c r="A49" s="214"/>
      <c r="B49" s="211">
        <v>11</v>
      </c>
      <c r="C49" s="212">
        <f>'5-Year DANN System'!B17</f>
        <v>0</v>
      </c>
      <c r="D49" s="212">
        <f>'5-Year DANN System'!C17</f>
        <v>0</v>
      </c>
      <c r="E49" s="212">
        <f>'5-Year DANN System'!D17</f>
        <v>0</v>
      </c>
      <c r="F49" s="212">
        <f>'5-Year DANN System'!E17</f>
        <v>0</v>
      </c>
      <c r="G49" s="212">
        <f>'5-Year DANN System'!F17</f>
        <v>0</v>
      </c>
      <c r="H49" s="212">
        <f>'5-Year DANN System'!G17</f>
        <v>0</v>
      </c>
      <c r="I49" s="214"/>
      <c r="J49" s="213"/>
      <c r="K49" s="213"/>
      <c r="L49" s="213"/>
      <c r="M49" s="213"/>
      <c r="N49" s="208"/>
    </row>
    <row r="50" spans="1:14" ht="14" x14ac:dyDescent="0.3">
      <c r="A50" s="214"/>
      <c r="B50" s="210">
        <v>12</v>
      </c>
      <c r="C50" s="212">
        <f>'5-Year DANN System'!B18</f>
        <v>0</v>
      </c>
      <c r="D50" s="212">
        <f>'5-Year DANN System'!C18</f>
        <v>0</v>
      </c>
      <c r="E50" s="212">
        <f>'5-Year DANN System'!D18</f>
        <v>0</v>
      </c>
      <c r="F50" s="212">
        <f>'5-Year DANN System'!E18</f>
        <v>0</v>
      </c>
      <c r="G50" s="212">
        <f>'5-Year DANN System'!F18</f>
        <v>0</v>
      </c>
      <c r="H50" s="212">
        <f>'5-Year DANN System'!G18</f>
        <v>0</v>
      </c>
      <c r="I50" s="214"/>
      <c r="J50" s="213"/>
      <c r="K50" s="213"/>
      <c r="L50" s="213"/>
      <c r="M50" s="213"/>
      <c r="N50" s="208"/>
    </row>
    <row r="51" spans="1:14" ht="14" x14ac:dyDescent="0.3">
      <c r="A51" s="214"/>
      <c r="B51" s="207" t="s">
        <v>197</v>
      </c>
      <c r="C51" s="206">
        <f t="shared" ref="C51:H51" si="16">SUM(C37:C50)</f>
        <v>965</v>
      </c>
      <c r="D51" s="206">
        <f t="shared" si="16"/>
        <v>1540</v>
      </c>
      <c r="E51" s="206">
        <f t="shared" si="16"/>
        <v>1717</v>
      </c>
      <c r="F51" s="206">
        <f t="shared" si="16"/>
        <v>1868</v>
      </c>
      <c r="G51" s="206">
        <f t="shared" si="16"/>
        <v>1992</v>
      </c>
      <c r="H51" s="206">
        <f t="shared" si="16"/>
        <v>1992</v>
      </c>
      <c r="I51" s="214"/>
      <c r="J51" s="226">
        <f>D51/$D$51</f>
        <v>1</v>
      </c>
      <c r="K51" s="226">
        <f>E51/$E$51</f>
        <v>1</v>
      </c>
      <c r="L51" s="226">
        <f>F51/$F$51</f>
        <v>1</v>
      </c>
      <c r="M51" s="226">
        <f>G51/$G$51</f>
        <v>1</v>
      </c>
      <c r="N51" s="226">
        <f>H51/$H$51</f>
        <v>1</v>
      </c>
    </row>
    <row r="52" spans="1:14" ht="13" x14ac:dyDescent="0.3">
      <c r="A52" s="214"/>
      <c r="B52" s="214"/>
      <c r="C52" s="214"/>
      <c r="D52" s="214"/>
      <c r="E52" s="214"/>
      <c r="F52" s="214"/>
      <c r="G52" s="214"/>
      <c r="H52" s="214"/>
      <c r="I52" s="214"/>
      <c r="J52" s="213"/>
      <c r="K52" s="213"/>
      <c r="L52" s="213"/>
      <c r="M52" s="213"/>
      <c r="N52" s="208"/>
    </row>
    <row r="53" spans="1:14" ht="14" x14ac:dyDescent="0.3">
      <c r="A53" s="214"/>
      <c r="B53" s="225" t="s">
        <v>274</v>
      </c>
      <c r="C53" s="223"/>
      <c r="D53" s="223"/>
      <c r="E53" s="223"/>
      <c r="F53" s="223"/>
      <c r="G53" s="223"/>
      <c r="H53" s="223"/>
      <c r="I53" s="214"/>
      <c r="J53" s="213"/>
      <c r="K53" s="213"/>
      <c r="L53" s="213"/>
      <c r="M53" s="213"/>
      <c r="N53" s="208"/>
    </row>
    <row r="54" spans="1:14" ht="14" x14ac:dyDescent="0.3">
      <c r="A54" s="214"/>
      <c r="B54" s="225" t="s">
        <v>273</v>
      </c>
      <c r="C54" s="223"/>
      <c r="D54" s="223"/>
      <c r="E54" s="223"/>
      <c r="F54" s="223"/>
      <c r="G54" s="223"/>
      <c r="H54" s="223"/>
      <c r="I54" s="214"/>
      <c r="J54" s="213"/>
      <c r="K54" s="213"/>
      <c r="L54" s="213"/>
      <c r="M54" s="213"/>
      <c r="N54" s="208"/>
    </row>
    <row r="55" spans="1:14" ht="13" x14ac:dyDescent="0.3">
      <c r="A55" s="214"/>
      <c r="B55" s="224" t="s">
        <v>272</v>
      </c>
      <c r="C55" s="223"/>
      <c r="D55" s="223"/>
      <c r="E55" s="223"/>
      <c r="F55" s="223"/>
      <c r="G55" s="223"/>
      <c r="H55" s="223"/>
      <c r="I55" s="214"/>
      <c r="J55" s="213"/>
      <c r="K55" s="213"/>
      <c r="L55" s="213"/>
      <c r="M55" s="213"/>
      <c r="N55" s="208"/>
    </row>
    <row r="56" spans="1:14" ht="13.5" thickBot="1" x14ac:dyDescent="0.35">
      <c r="A56" s="214"/>
      <c r="B56" s="214"/>
      <c r="C56" s="214"/>
      <c r="D56" s="214"/>
      <c r="E56" s="214"/>
      <c r="F56" s="214"/>
      <c r="G56" s="214"/>
      <c r="H56" s="214"/>
      <c r="I56" s="214"/>
      <c r="J56" s="213"/>
      <c r="K56" s="213"/>
      <c r="L56" s="213"/>
      <c r="M56" s="213"/>
      <c r="N56" s="208"/>
    </row>
    <row r="57" spans="1:14" ht="15.75" customHeight="1" x14ac:dyDescent="0.3">
      <c r="A57" s="214"/>
      <c r="B57" s="371" t="s">
        <v>271</v>
      </c>
      <c r="C57" s="374" t="s">
        <v>270</v>
      </c>
      <c r="D57" s="375"/>
      <c r="E57" s="375"/>
      <c r="F57" s="375"/>
      <c r="G57" s="375"/>
      <c r="H57" s="376"/>
      <c r="I57" s="214"/>
      <c r="J57" s="213"/>
      <c r="K57" s="213"/>
      <c r="L57" s="213"/>
      <c r="M57" s="213"/>
      <c r="N57" s="208"/>
    </row>
    <row r="58" spans="1:14" ht="14" x14ac:dyDescent="0.3">
      <c r="A58" s="214"/>
      <c r="B58" s="372"/>
      <c r="C58" s="222">
        <f>+C14</f>
        <v>2022</v>
      </c>
      <c r="D58" s="221">
        <f>+C59</f>
        <v>2023</v>
      </c>
      <c r="E58" s="221">
        <f>+D59</f>
        <v>2024</v>
      </c>
      <c r="F58" s="221">
        <f>+E59</f>
        <v>2025</v>
      </c>
      <c r="G58" s="221">
        <f>+F59</f>
        <v>2026</v>
      </c>
      <c r="H58" s="220">
        <f>+G59</f>
        <v>2027</v>
      </c>
      <c r="I58" s="214"/>
      <c r="J58" s="213"/>
      <c r="K58" s="213"/>
      <c r="L58" s="213"/>
      <c r="M58" s="213"/>
      <c r="N58" s="208"/>
    </row>
    <row r="59" spans="1:14" ht="14.5" thickBot="1" x14ac:dyDescent="0.35">
      <c r="A59" s="214"/>
      <c r="B59" s="373"/>
      <c r="C59" s="219">
        <f t="shared" ref="C59:H59" si="17">+C58+1</f>
        <v>2023</v>
      </c>
      <c r="D59" s="218">
        <f t="shared" si="17"/>
        <v>2024</v>
      </c>
      <c r="E59" s="218">
        <f t="shared" si="17"/>
        <v>2025</v>
      </c>
      <c r="F59" s="218">
        <f t="shared" si="17"/>
        <v>2026</v>
      </c>
      <c r="G59" s="218">
        <f t="shared" si="17"/>
        <v>2027</v>
      </c>
      <c r="H59" s="217">
        <f t="shared" si="17"/>
        <v>2028</v>
      </c>
      <c r="I59" s="214"/>
      <c r="J59" s="213"/>
      <c r="K59" s="213"/>
      <c r="L59" s="213"/>
      <c r="M59" s="213"/>
      <c r="N59" s="208"/>
    </row>
    <row r="60" spans="1:14" ht="14" x14ac:dyDescent="0.3">
      <c r="A60" s="214"/>
      <c r="B60" s="215" t="s">
        <v>269</v>
      </c>
      <c r="C60" s="216"/>
      <c r="D60" s="216"/>
      <c r="E60" s="216"/>
      <c r="F60" s="216"/>
      <c r="G60" s="216"/>
      <c r="H60" s="216"/>
      <c r="I60" s="214"/>
      <c r="J60" s="213"/>
      <c r="K60" s="213"/>
      <c r="L60" s="213"/>
      <c r="M60" s="213"/>
      <c r="N60" s="208"/>
    </row>
    <row r="61" spans="1:14" ht="14" x14ac:dyDescent="0.3">
      <c r="A61" s="214"/>
      <c r="B61" s="215" t="s">
        <v>268</v>
      </c>
      <c r="C61" s="209">
        <f t="shared" ref="C61:H61" si="18">ROUND(C38*1.05,0)</f>
        <v>105</v>
      </c>
      <c r="D61" s="209">
        <f t="shared" si="18"/>
        <v>210</v>
      </c>
      <c r="E61" s="209">
        <f t="shared" si="18"/>
        <v>210</v>
      </c>
      <c r="F61" s="209">
        <f t="shared" si="18"/>
        <v>210</v>
      </c>
      <c r="G61" s="209">
        <f t="shared" si="18"/>
        <v>210</v>
      </c>
      <c r="H61" s="209">
        <f t="shared" si="18"/>
        <v>210</v>
      </c>
      <c r="I61" s="214"/>
      <c r="J61" s="213"/>
      <c r="K61" s="213"/>
      <c r="L61" s="213"/>
      <c r="M61" s="213"/>
      <c r="N61" s="208"/>
    </row>
    <row r="62" spans="1:14" ht="14" x14ac:dyDescent="0.3">
      <c r="A62" s="214"/>
      <c r="B62" s="211">
        <v>1</v>
      </c>
      <c r="C62" s="209">
        <f t="shared" ref="C62:H62" si="19">ROUND(C39*1.05,0)</f>
        <v>109</v>
      </c>
      <c r="D62" s="209">
        <f t="shared" si="19"/>
        <v>218</v>
      </c>
      <c r="E62" s="209">
        <f t="shared" si="19"/>
        <v>218</v>
      </c>
      <c r="F62" s="209">
        <f t="shared" si="19"/>
        <v>218</v>
      </c>
      <c r="G62" s="209">
        <f t="shared" si="19"/>
        <v>218</v>
      </c>
      <c r="H62" s="209">
        <f t="shared" si="19"/>
        <v>218</v>
      </c>
      <c r="I62" s="214"/>
      <c r="J62" s="213"/>
      <c r="K62" s="213"/>
      <c r="L62" s="213"/>
      <c r="M62" s="213"/>
      <c r="N62" s="208"/>
    </row>
    <row r="63" spans="1:14" ht="14" x14ac:dyDescent="0.3">
      <c r="A63" s="214"/>
      <c r="B63" s="211">
        <v>2</v>
      </c>
      <c r="C63" s="209">
        <f t="shared" ref="C63:H63" si="20">ROUND(C40*1.05,0)</f>
        <v>109</v>
      </c>
      <c r="D63" s="209">
        <f t="shared" si="20"/>
        <v>218</v>
      </c>
      <c r="E63" s="209">
        <f t="shared" si="20"/>
        <v>218</v>
      </c>
      <c r="F63" s="209">
        <f t="shared" si="20"/>
        <v>218</v>
      </c>
      <c r="G63" s="209">
        <f t="shared" si="20"/>
        <v>218</v>
      </c>
      <c r="H63" s="209">
        <f t="shared" si="20"/>
        <v>218</v>
      </c>
      <c r="I63" s="214"/>
      <c r="J63" s="213"/>
      <c r="K63" s="213"/>
      <c r="L63" s="213"/>
      <c r="M63" s="213"/>
      <c r="N63" s="208"/>
    </row>
    <row r="64" spans="1:14" ht="14" x14ac:dyDescent="0.3">
      <c r="A64" s="214"/>
      <c r="B64" s="211">
        <v>3</v>
      </c>
      <c r="C64" s="209">
        <f t="shared" ref="C64:H64" si="21">ROUND(C41*1.05,0)</f>
        <v>109</v>
      </c>
      <c r="D64" s="209">
        <f t="shared" si="21"/>
        <v>218</v>
      </c>
      <c r="E64" s="209">
        <f t="shared" si="21"/>
        <v>218</v>
      </c>
      <c r="F64" s="209">
        <f t="shared" si="21"/>
        <v>218</v>
      </c>
      <c r="G64" s="209">
        <f t="shared" si="21"/>
        <v>218</v>
      </c>
      <c r="H64" s="209">
        <f t="shared" si="21"/>
        <v>218</v>
      </c>
      <c r="I64" s="214"/>
      <c r="J64" s="213"/>
      <c r="K64" s="213"/>
      <c r="L64" s="213"/>
      <c r="M64" s="213"/>
      <c r="N64" s="208"/>
    </row>
    <row r="65" spans="2:14" ht="14" x14ac:dyDescent="0.3">
      <c r="B65" s="211">
        <v>4</v>
      </c>
      <c r="C65" s="209">
        <f t="shared" ref="C65:H65" si="22">ROUND(C42*1.05,0)</f>
        <v>109</v>
      </c>
      <c r="D65" s="209">
        <f t="shared" si="22"/>
        <v>191</v>
      </c>
      <c r="E65" s="209">
        <f t="shared" si="22"/>
        <v>218</v>
      </c>
      <c r="F65" s="209">
        <f t="shared" si="22"/>
        <v>218</v>
      </c>
      <c r="G65" s="209">
        <f t="shared" si="22"/>
        <v>218</v>
      </c>
      <c r="H65" s="209">
        <f t="shared" si="22"/>
        <v>218</v>
      </c>
      <c r="J65" s="208"/>
      <c r="K65" s="208"/>
      <c r="L65" s="208"/>
      <c r="M65" s="208"/>
      <c r="N65" s="208"/>
    </row>
    <row r="66" spans="2:14" ht="14" x14ac:dyDescent="0.3">
      <c r="B66" s="211">
        <v>5</v>
      </c>
      <c r="C66" s="209">
        <f t="shared" ref="C66:H66" si="23">ROUND(C43*1.05,0)</f>
        <v>113</v>
      </c>
      <c r="D66" s="209">
        <f t="shared" si="23"/>
        <v>170</v>
      </c>
      <c r="E66" s="209">
        <f t="shared" si="23"/>
        <v>198</v>
      </c>
      <c r="F66" s="209">
        <f t="shared" si="23"/>
        <v>227</v>
      </c>
      <c r="G66" s="209">
        <f t="shared" si="23"/>
        <v>227</v>
      </c>
      <c r="H66" s="209">
        <f t="shared" si="23"/>
        <v>227</v>
      </c>
      <c r="J66" s="208"/>
      <c r="K66" s="208"/>
      <c r="L66" s="208"/>
      <c r="M66" s="208"/>
      <c r="N66" s="208"/>
    </row>
    <row r="67" spans="2:14" ht="14" x14ac:dyDescent="0.3">
      <c r="B67" s="211">
        <v>6</v>
      </c>
      <c r="C67" s="209">
        <f t="shared" ref="C67:H67" si="24">ROUND(C44*1.05,0)</f>
        <v>130</v>
      </c>
      <c r="D67" s="209">
        <f t="shared" si="24"/>
        <v>130</v>
      </c>
      <c r="E67" s="209">
        <f t="shared" si="24"/>
        <v>260</v>
      </c>
      <c r="F67" s="209">
        <f t="shared" si="24"/>
        <v>260</v>
      </c>
      <c r="G67" s="209">
        <f t="shared" si="24"/>
        <v>260</v>
      </c>
      <c r="H67" s="209">
        <f t="shared" si="24"/>
        <v>260</v>
      </c>
      <c r="J67" s="208"/>
      <c r="K67" s="208"/>
      <c r="L67" s="208"/>
      <c r="M67" s="208"/>
      <c r="N67" s="208"/>
    </row>
    <row r="68" spans="2:14" ht="14" x14ac:dyDescent="0.3">
      <c r="B68" s="211">
        <v>7</v>
      </c>
      <c r="C68" s="209">
        <f t="shared" ref="C68:H68" si="25">ROUND(C45*1.05,0)</f>
        <v>130</v>
      </c>
      <c r="D68" s="209">
        <f t="shared" si="25"/>
        <v>130</v>
      </c>
      <c r="E68" s="209">
        <f t="shared" si="25"/>
        <v>130</v>
      </c>
      <c r="F68" s="209">
        <f t="shared" si="25"/>
        <v>260</v>
      </c>
      <c r="G68" s="209">
        <f t="shared" si="25"/>
        <v>260</v>
      </c>
      <c r="H68" s="209">
        <f t="shared" si="25"/>
        <v>260</v>
      </c>
      <c r="J68" s="208"/>
      <c r="K68" s="208"/>
      <c r="L68" s="208"/>
      <c r="M68" s="208"/>
      <c r="N68" s="208"/>
    </row>
    <row r="69" spans="2:14" ht="14" x14ac:dyDescent="0.3">
      <c r="B69" s="211">
        <v>8</v>
      </c>
      <c r="C69" s="209">
        <f t="shared" ref="C69:H69" si="26">ROUND(C46*1.05,0)</f>
        <v>98</v>
      </c>
      <c r="D69" s="209">
        <f t="shared" si="26"/>
        <v>130</v>
      </c>
      <c r="E69" s="209">
        <f t="shared" si="26"/>
        <v>130</v>
      </c>
      <c r="F69" s="209">
        <f t="shared" si="26"/>
        <v>130</v>
      </c>
      <c r="G69" s="209">
        <f t="shared" si="26"/>
        <v>260</v>
      </c>
      <c r="H69" s="209">
        <f t="shared" si="26"/>
        <v>260</v>
      </c>
      <c r="J69" s="208"/>
      <c r="K69" s="208"/>
      <c r="L69" s="208"/>
      <c r="M69" s="208"/>
      <c r="N69" s="208"/>
    </row>
    <row r="70" spans="2:14" ht="14" x14ac:dyDescent="0.3">
      <c r="B70" s="211">
        <v>9</v>
      </c>
      <c r="C70" s="209">
        <f t="shared" ref="C70:H70" si="27">ROUND(C47*1.05,0)</f>
        <v>0</v>
      </c>
      <c r="D70" s="209">
        <f t="shared" si="27"/>
        <v>0</v>
      </c>
      <c r="E70" s="209">
        <f t="shared" si="27"/>
        <v>0</v>
      </c>
      <c r="F70" s="209">
        <f t="shared" si="27"/>
        <v>0</v>
      </c>
      <c r="G70" s="209">
        <f t="shared" si="27"/>
        <v>0</v>
      </c>
      <c r="H70" s="209">
        <f t="shared" si="27"/>
        <v>0</v>
      </c>
      <c r="J70" s="208"/>
      <c r="K70" s="208"/>
      <c r="L70" s="208"/>
      <c r="M70" s="208"/>
      <c r="N70" s="208"/>
    </row>
    <row r="71" spans="2:14" ht="14" x14ac:dyDescent="0.3">
      <c r="B71" s="211">
        <v>10</v>
      </c>
      <c r="C71" s="209">
        <f t="shared" ref="C71:H71" si="28">ROUND(C48*1.05,0)</f>
        <v>0</v>
      </c>
      <c r="D71" s="209">
        <f t="shared" si="28"/>
        <v>0</v>
      </c>
      <c r="E71" s="209">
        <f t="shared" si="28"/>
        <v>0</v>
      </c>
      <c r="F71" s="209">
        <f t="shared" si="28"/>
        <v>0</v>
      </c>
      <c r="G71" s="209">
        <f t="shared" si="28"/>
        <v>0</v>
      </c>
      <c r="H71" s="209">
        <f t="shared" si="28"/>
        <v>0</v>
      </c>
      <c r="J71" s="208"/>
      <c r="K71" s="208"/>
      <c r="L71" s="208"/>
      <c r="M71" s="208"/>
      <c r="N71" s="208"/>
    </row>
    <row r="72" spans="2:14" ht="14" x14ac:dyDescent="0.3">
      <c r="B72" s="211">
        <v>11</v>
      </c>
      <c r="C72" s="209">
        <f t="shared" ref="C72:H72" si="29">ROUND(C49*1.05,0)</f>
        <v>0</v>
      </c>
      <c r="D72" s="209">
        <f t="shared" si="29"/>
        <v>0</v>
      </c>
      <c r="E72" s="209">
        <f t="shared" si="29"/>
        <v>0</v>
      </c>
      <c r="F72" s="209">
        <f t="shared" si="29"/>
        <v>0</v>
      </c>
      <c r="G72" s="209">
        <f t="shared" si="29"/>
        <v>0</v>
      </c>
      <c r="H72" s="209">
        <f t="shared" si="29"/>
        <v>0</v>
      </c>
      <c r="J72" s="208"/>
      <c r="K72" s="208"/>
      <c r="L72" s="208"/>
      <c r="M72" s="208"/>
      <c r="N72" s="208"/>
    </row>
    <row r="73" spans="2:14" ht="14" x14ac:dyDescent="0.3">
      <c r="B73" s="210">
        <v>12</v>
      </c>
      <c r="C73" s="209">
        <f t="shared" ref="C73:H73" si="30">ROUND(C50*1.05,0)</f>
        <v>0</v>
      </c>
      <c r="D73" s="209">
        <f t="shared" si="30"/>
        <v>0</v>
      </c>
      <c r="E73" s="209">
        <f t="shared" si="30"/>
        <v>0</v>
      </c>
      <c r="F73" s="209">
        <f t="shared" si="30"/>
        <v>0</v>
      </c>
      <c r="G73" s="209">
        <f t="shared" si="30"/>
        <v>0</v>
      </c>
      <c r="H73" s="209">
        <f t="shared" si="30"/>
        <v>0</v>
      </c>
      <c r="J73" s="208"/>
      <c r="K73" s="208"/>
      <c r="L73" s="208"/>
      <c r="M73" s="208"/>
      <c r="N73" s="208"/>
    </row>
    <row r="74" spans="2:14" ht="14" x14ac:dyDescent="0.3">
      <c r="B74" s="207" t="s">
        <v>197</v>
      </c>
      <c r="C74" s="206">
        <f t="shared" ref="C74:H74" si="31">SUM(C60:C73)</f>
        <v>1012</v>
      </c>
      <c r="D74" s="206">
        <f t="shared" si="31"/>
        <v>1615</v>
      </c>
      <c r="E74" s="206">
        <f t="shared" si="31"/>
        <v>1800</v>
      </c>
      <c r="F74" s="206">
        <f t="shared" si="31"/>
        <v>1959</v>
      </c>
      <c r="G74" s="206">
        <f t="shared" si="31"/>
        <v>2089</v>
      </c>
      <c r="H74" s="206">
        <f t="shared" si="31"/>
        <v>2089</v>
      </c>
      <c r="J74" s="205">
        <f>D74/$D$51</f>
        <v>1.0487012987012987</v>
      </c>
      <c r="K74" s="205">
        <f>E74/$E$51</f>
        <v>1.0483401281304601</v>
      </c>
      <c r="L74" s="205">
        <f>F74/$F$51</f>
        <v>1.0487152034261242</v>
      </c>
      <c r="M74" s="205">
        <f>G74/$G$51</f>
        <v>1.0486947791164658</v>
      </c>
      <c r="N74" s="205">
        <f>H74/$H$51</f>
        <v>1.0486947791164658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8"/>
  <sheetViews>
    <sheetView showGridLines="0" topLeftCell="A103" zoomScale="75" zoomScaleNormal="75" zoomScaleSheetLayoutView="100" workbookViewId="0">
      <selection activeCell="H52" sqref="H52"/>
    </sheetView>
  </sheetViews>
  <sheetFormatPr defaultColWidth="8.90625" defaultRowHeight="12.5" x14ac:dyDescent="0.25"/>
  <cols>
    <col min="1" max="1" width="2.6328125" style="204" customWidth="1"/>
    <col min="2" max="2" width="43.1796875" style="204" customWidth="1"/>
    <col min="3" max="8" width="8.90625" style="204"/>
    <col min="9" max="9" width="2.90625" style="204" customWidth="1"/>
    <col min="10" max="16384" width="8.90625" style="204"/>
  </cols>
  <sheetData>
    <row r="1" spans="1:16" ht="15.5" x14ac:dyDescent="0.35">
      <c r="A1" s="236" t="s">
        <v>329</v>
      </c>
      <c r="B1" s="236"/>
      <c r="C1" s="236"/>
    </row>
    <row r="2" spans="1:16" ht="15.5" x14ac:dyDescent="0.35">
      <c r="A2" s="235" t="s">
        <v>330</v>
      </c>
      <c r="B2" s="234"/>
      <c r="C2" s="234"/>
    </row>
    <row r="3" spans="1:16" ht="13" x14ac:dyDescent="0.3">
      <c r="A3" s="233" t="s">
        <v>281</v>
      </c>
    </row>
    <row r="4" spans="1:16" x14ac:dyDescent="0.25">
      <c r="A4" s="232" t="s">
        <v>280</v>
      </c>
    </row>
    <row r="5" spans="1:16" ht="13" x14ac:dyDescent="0.3">
      <c r="A5" s="283" t="str">
        <f ca="1">CELL("filename")</f>
        <v>S:\School Growth &amp; Development\Active Projects or Drafts\Nevada\Doral Academy of Northern Nevada (DANN)\Charter Development\Amendment Applications\Attachments_Campus Exp\A6_School Budget\[6 - School Budget_v2.xlsx]5-Year DANN</v>
      </c>
    </row>
    <row r="6" spans="1:16" ht="13" x14ac:dyDescent="0.3">
      <c r="A6" s="283"/>
    </row>
    <row r="7" spans="1:16" ht="14" x14ac:dyDescent="0.3">
      <c r="A7" s="283"/>
      <c r="B7" s="230" t="s">
        <v>279</v>
      </c>
    </row>
    <row r="8" spans="1:16" ht="13" x14ac:dyDescent="0.3">
      <c r="A8" s="283"/>
    </row>
    <row r="9" spans="1:16" ht="13" x14ac:dyDescent="0.3">
      <c r="A9" s="283"/>
    </row>
    <row r="10" spans="1:16" ht="13" x14ac:dyDescent="0.3">
      <c r="A10" s="283"/>
    </row>
    <row r="11" spans="1:16" ht="13" x14ac:dyDescent="0.3">
      <c r="A11" s="214"/>
      <c r="B11" s="214"/>
      <c r="C11" s="282" t="s">
        <v>328</v>
      </c>
      <c r="D11" s="281"/>
      <c r="E11" s="281"/>
      <c r="F11" s="281"/>
      <c r="G11" s="281"/>
      <c r="H11" s="280"/>
      <c r="I11" s="214"/>
      <c r="J11" s="214"/>
      <c r="K11" s="214"/>
      <c r="L11" s="214"/>
      <c r="M11" s="214"/>
      <c r="N11" s="214"/>
      <c r="O11" s="214"/>
      <c r="P11" s="214"/>
    </row>
    <row r="12" spans="1:16" ht="13" x14ac:dyDescent="0.3">
      <c r="A12" s="214"/>
      <c r="B12" s="279" t="s">
        <v>327</v>
      </c>
      <c r="C12" s="278">
        <v>2022</v>
      </c>
      <c r="D12" s="277">
        <f>+C13</f>
        <v>2023</v>
      </c>
      <c r="E12" s="277">
        <f>+D13</f>
        <v>2024</v>
      </c>
      <c r="F12" s="277">
        <f>+E13</f>
        <v>2025</v>
      </c>
      <c r="G12" s="277">
        <f>+F13</f>
        <v>2026</v>
      </c>
      <c r="H12" s="276">
        <f>+G13</f>
        <v>2027</v>
      </c>
      <c r="I12" s="214"/>
      <c r="J12" s="214"/>
      <c r="K12" s="214"/>
      <c r="L12" s="214"/>
      <c r="M12" s="214"/>
      <c r="N12" s="214"/>
      <c r="O12" s="214"/>
      <c r="P12" s="214"/>
    </row>
    <row r="13" spans="1:16" ht="13" x14ac:dyDescent="0.3">
      <c r="A13" s="214"/>
      <c r="B13" s="214"/>
      <c r="C13" s="275">
        <f t="shared" ref="C13:H13" si="0">+C12+1</f>
        <v>2023</v>
      </c>
      <c r="D13" s="274">
        <f t="shared" si="0"/>
        <v>2024</v>
      </c>
      <c r="E13" s="274">
        <f t="shared" si="0"/>
        <v>2025</v>
      </c>
      <c r="F13" s="274">
        <f t="shared" si="0"/>
        <v>2026</v>
      </c>
      <c r="G13" s="274">
        <f t="shared" si="0"/>
        <v>2027</v>
      </c>
      <c r="H13" s="273">
        <f t="shared" si="0"/>
        <v>2028</v>
      </c>
      <c r="I13" s="214"/>
      <c r="J13" s="214"/>
      <c r="K13" s="214"/>
      <c r="L13" s="214"/>
      <c r="M13" s="214"/>
      <c r="N13" s="214"/>
      <c r="O13" s="214"/>
      <c r="P13" s="214"/>
    </row>
    <row r="14" spans="1:16" ht="14" x14ac:dyDescent="0.3">
      <c r="A14" s="214"/>
      <c r="B14" s="269" t="s">
        <v>326</v>
      </c>
      <c r="K14" s="214"/>
      <c r="L14" s="214"/>
      <c r="M14" s="214"/>
      <c r="N14" s="214"/>
      <c r="O14" s="214"/>
      <c r="P14" s="214"/>
    </row>
    <row r="15" spans="1:16" ht="14" x14ac:dyDescent="0.25">
      <c r="A15" s="214"/>
      <c r="B15" s="378" t="s">
        <v>310</v>
      </c>
      <c r="C15" s="379"/>
      <c r="D15" s="379"/>
      <c r="E15" s="379"/>
      <c r="F15" s="379"/>
      <c r="G15" s="379"/>
      <c r="H15" s="380"/>
      <c r="K15" s="214"/>
      <c r="L15" s="214"/>
      <c r="M15" s="214"/>
      <c r="N15" s="214"/>
      <c r="O15" s="214"/>
      <c r="P15" s="214"/>
    </row>
    <row r="16" spans="1:16" ht="14" x14ac:dyDescent="0.25">
      <c r="A16" s="214"/>
      <c r="B16" s="260" t="s">
        <v>309</v>
      </c>
      <c r="C16" s="259">
        <v>1</v>
      </c>
      <c r="D16" s="259">
        <v>1</v>
      </c>
      <c r="E16" s="259">
        <v>1</v>
      </c>
      <c r="F16" s="259">
        <v>1</v>
      </c>
      <c r="G16" s="259">
        <v>1</v>
      </c>
      <c r="H16" s="259">
        <v>1</v>
      </c>
      <c r="K16" s="214"/>
      <c r="L16" s="214"/>
      <c r="M16" s="214"/>
      <c r="N16" s="214"/>
      <c r="O16" s="214"/>
      <c r="P16" s="214"/>
    </row>
    <row r="17" spans="1:16" ht="14" x14ac:dyDescent="0.25">
      <c r="A17" s="214"/>
      <c r="B17" s="211" t="s">
        <v>308</v>
      </c>
      <c r="C17" s="259">
        <v>1</v>
      </c>
      <c r="D17" s="259">
        <v>1</v>
      </c>
      <c r="E17" s="259">
        <v>1</v>
      </c>
      <c r="F17" s="259">
        <v>1</v>
      </c>
      <c r="G17" s="259">
        <v>1</v>
      </c>
      <c r="H17" s="259">
        <v>1</v>
      </c>
      <c r="K17" s="214"/>
      <c r="L17" s="214"/>
      <c r="M17" s="214"/>
      <c r="N17" s="214"/>
      <c r="O17" s="214"/>
      <c r="P17" s="214"/>
    </row>
    <row r="18" spans="1:16" ht="14" x14ac:dyDescent="0.25">
      <c r="A18" s="214"/>
      <c r="B18" s="211" t="s">
        <v>307</v>
      </c>
      <c r="C18" s="259">
        <v>1</v>
      </c>
      <c r="D18" s="259">
        <v>1</v>
      </c>
      <c r="E18" s="259">
        <v>1</v>
      </c>
      <c r="F18" s="259">
        <v>1</v>
      </c>
      <c r="G18" s="259">
        <v>1</v>
      </c>
      <c r="H18" s="259">
        <v>1</v>
      </c>
      <c r="K18" s="214"/>
      <c r="L18" s="214"/>
      <c r="M18" s="214"/>
      <c r="N18" s="214"/>
      <c r="O18" s="214"/>
      <c r="P18" s="214"/>
    </row>
    <row r="19" spans="1:16" ht="14" x14ac:dyDescent="0.25">
      <c r="A19" s="214"/>
      <c r="B19" s="211" t="s">
        <v>306</v>
      </c>
      <c r="C19" s="259">
        <v>1</v>
      </c>
      <c r="D19" s="259">
        <v>1</v>
      </c>
      <c r="E19" s="259">
        <v>1</v>
      </c>
      <c r="F19" s="259">
        <v>1</v>
      </c>
      <c r="G19" s="259">
        <v>1</v>
      </c>
      <c r="H19" s="259">
        <v>1</v>
      </c>
      <c r="K19" s="214"/>
      <c r="L19" s="214"/>
      <c r="M19" s="214"/>
      <c r="N19" s="214"/>
      <c r="O19" s="214"/>
      <c r="P19" s="214"/>
    </row>
    <row r="20" spans="1:16" ht="14" x14ac:dyDescent="0.25">
      <c r="A20" s="214"/>
      <c r="B20" s="211" t="s">
        <v>305</v>
      </c>
      <c r="C20" s="259">
        <v>1</v>
      </c>
      <c r="D20" s="259">
        <v>1</v>
      </c>
      <c r="E20" s="259">
        <v>1</v>
      </c>
      <c r="F20" s="259">
        <v>1</v>
      </c>
      <c r="G20" s="259">
        <v>1</v>
      </c>
      <c r="H20" s="259">
        <v>1</v>
      </c>
      <c r="K20" s="214"/>
      <c r="L20" s="214"/>
      <c r="M20" s="214"/>
      <c r="N20" s="214"/>
      <c r="O20" s="214"/>
      <c r="P20" s="214"/>
    </row>
    <row r="21" spans="1:16" ht="14" x14ac:dyDescent="0.25">
      <c r="A21" s="214"/>
      <c r="B21" s="211" t="s">
        <v>304</v>
      </c>
      <c r="C21" s="259">
        <v>1</v>
      </c>
      <c r="D21" s="259">
        <v>1</v>
      </c>
      <c r="E21" s="259">
        <v>1</v>
      </c>
      <c r="F21" s="259">
        <v>1</v>
      </c>
      <c r="G21" s="259">
        <v>1</v>
      </c>
      <c r="H21" s="259">
        <v>1</v>
      </c>
      <c r="K21" s="214"/>
      <c r="L21" s="214"/>
      <c r="M21" s="214"/>
      <c r="N21" s="214"/>
      <c r="O21" s="214"/>
      <c r="P21" s="214"/>
    </row>
    <row r="22" spans="1:16" ht="28" x14ac:dyDescent="0.25">
      <c r="A22" s="214"/>
      <c r="B22" s="211" t="s">
        <v>303</v>
      </c>
      <c r="C22" s="248">
        <v>2</v>
      </c>
      <c r="D22" s="248">
        <v>2</v>
      </c>
      <c r="E22" s="248">
        <v>2</v>
      </c>
      <c r="F22" s="248">
        <v>2</v>
      </c>
      <c r="G22" s="248">
        <v>2</v>
      </c>
      <c r="H22" s="248">
        <v>2</v>
      </c>
      <c r="K22" s="214"/>
      <c r="L22" s="214"/>
      <c r="M22" s="214"/>
      <c r="N22" s="214"/>
      <c r="O22" s="214"/>
      <c r="P22" s="214"/>
    </row>
    <row r="23" spans="1:16" ht="14" x14ac:dyDescent="0.25">
      <c r="A23" s="214"/>
      <c r="B23" s="210" t="s">
        <v>302</v>
      </c>
      <c r="C23" s="259">
        <v>1</v>
      </c>
      <c r="D23" s="259">
        <v>1</v>
      </c>
      <c r="E23" s="259">
        <v>1</v>
      </c>
      <c r="F23" s="259">
        <v>1</v>
      </c>
      <c r="G23" s="259">
        <v>1</v>
      </c>
      <c r="H23" s="259">
        <v>1</v>
      </c>
      <c r="K23" s="214"/>
      <c r="L23" s="214"/>
      <c r="M23" s="214"/>
      <c r="N23" s="214"/>
      <c r="O23" s="214"/>
      <c r="P23" s="214"/>
    </row>
    <row r="24" spans="1:16" ht="14" x14ac:dyDescent="0.25">
      <c r="A24" s="214"/>
      <c r="B24" s="264" t="s">
        <v>301</v>
      </c>
      <c r="C24" s="272">
        <f t="shared" ref="C24:H24" si="1">SUM(C16:C23)</f>
        <v>9</v>
      </c>
      <c r="D24" s="272">
        <f t="shared" si="1"/>
        <v>9</v>
      </c>
      <c r="E24" s="272">
        <f t="shared" si="1"/>
        <v>9</v>
      </c>
      <c r="F24" s="272">
        <f t="shared" si="1"/>
        <v>9</v>
      </c>
      <c r="G24" s="272">
        <f t="shared" si="1"/>
        <v>9</v>
      </c>
      <c r="H24" s="272">
        <f t="shared" si="1"/>
        <v>9</v>
      </c>
      <c r="K24" s="214"/>
      <c r="L24" s="214"/>
      <c r="M24" s="214"/>
      <c r="N24" s="214"/>
      <c r="O24" s="214"/>
      <c r="P24" s="214"/>
    </row>
    <row r="25" spans="1:16" ht="14" x14ac:dyDescent="0.25">
      <c r="A25" s="214"/>
      <c r="B25" s="252"/>
      <c r="C25" s="271"/>
      <c r="D25" s="271"/>
      <c r="E25" s="271"/>
      <c r="F25" s="271"/>
      <c r="G25" s="271"/>
      <c r="H25" s="271"/>
      <c r="K25" s="214"/>
      <c r="L25" s="214"/>
      <c r="M25" s="214"/>
      <c r="N25" s="214"/>
      <c r="O25" s="214"/>
      <c r="P25" s="214"/>
    </row>
    <row r="26" spans="1:16" ht="14" x14ac:dyDescent="0.25">
      <c r="A26" s="214"/>
      <c r="B26" s="378" t="s">
        <v>325</v>
      </c>
      <c r="C26" s="379"/>
      <c r="D26" s="379"/>
      <c r="E26" s="379"/>
      <c r="F26" s="379"/>
      <c r="G26" s="379"/>
      <c r="H26" s="380"/>
      <c r="K26" s="214"/>
      <c r="L26" s="214"/>
      <c r="M26" s="214"/>
      <c r="N26" s="214"/>
      <c r="O26" s="214"/>
      <c r="P26" s="214"/>
    </row>
    <row r="27" spans="1:16" ht="14" x14ac:dyDescent="0.25">
      <c r="A27" s="214"/>
      <c r="B27" s="211" t="s">
        <v>295</v>
      </c>
      <c r="C27" s="248">
        <f>'5-Year New Campus'!B42</f>
        <v>0</v>
      </c>
      <c r="D27" s="248">
        <f>'5-Year New Campus'!C42</f>
        <v>1</v>
      </c>
      <c r="E27" s="248">
        <f>'5-Year New Campus'!D42</f>
        <v>1</v>
      </c>
      <c r="F27" s="248">
        <f>'5-Year New Campus'!E42</f>
        <v>1</v>
      </c>
      <c r="G27" s="248">
        <f>'5-Year New Campus'!F42</f>
        <v>1</v>
      </c>
      <c r="H27" s="248">
        <f>'5-Year New Campus'!G42</f>
        <v>1</v>
      </c>
      <c r="K27" s="214"/>
      <c r="L27" s="214"/>
      <c r="M27" s="214"/>
      <c r="N27" s="214"/>
      <c r="O27" s="214"/>
      <c r="P27" s="214"/>
    </row>
    <row r="28" spans="1:16" ht="14" x14ac:dyDescent="0.25">
      <c r="A28" s="214"/>
      <c r="B28" s="211" t="s">
        <v>294</v>
      </c>
      <c r="C28" s="248">
        <f>'5-Year New Campus'!B43</f>
        <v>0</v>
      </c>
      <c r="D28" s="248">
        <f>'5-Year New Campus'!C43</f>
        <v>0</v>
      </c>
      <c r="E28" s="248">
        <f>'5-Year New Campus'!D43</f>
        <v>1</v>
      </c>
      <c r="F28" s="248">
        <f>'5-Year New Campus'!E43</f>
        <v>1</v>
      </c>
      <c r="G28" s="248">
        <f>'5-Year New Campus'!F43</f>
        <v>2</v>
      </c>
      <c r="H28" s="248">
        <f>'5-Year New Campus'!G43</f>
        <v>2</v>
      </c>
      <c r="K28" s="214"/>
      <c r="L28" s="214"/>
      <c r="M28" s="214"/>
      <c r="N28" s="214"/>
      <c r="O28" s="214"/>
      <c r="P28" s="214"/>
    </row>
    <row r="29" spans="1:16" ht="13.25" customHeight="1" x14ac:dyDescent="0.25">
      <c r="A29" s="214"/>
      <c r="B29" s="381" t="s">
        <v>331</v>
      </c>
      <c r="C29" s="377">
        <f>'5-Year New Campus'!B46</f>
        <v>0</v>
      </c>
      <c r="D29" s="377">
        <f>'5-Year New Campus'!C46</f>
        <v>0</v>
      </c>
      <c r="E29" s="377">
        <f>'5-Year New Campus'!D46</f>
        <v>0</v>
      </c>
      <c r="F29" s="377">
        <f>'5-Year New Campus'!E46</f>
        <v>1</v>
      </c>
      <c r="G29" s="377">
        <f>'5-Year New Campus'!F46</f>
        <v>1</v>
      </c>
      <c r="H29" s="377">
        <f>'5-Year New Campus'!G46</f>
        <v>1</v>
      </c>
      <c r="K29" s="214"/>
      <c r="L29" s="214"/>
      <c r="M29" s="214"/>
      <c r="N29" s="214"/>
      <c r="O29" s="214"/>
      <c r="P29" s="214"/>
    </row>
    <row r="30" spans="1:16" ht="13.25" customHeight="1" x14ac:dyDescent="0.25">
      <c r="A30" s="214"/>
      <c r="B30" s="382"/>
      <c r="C30" s="377"/>
      <c r="D30" s="377"/>
      <c r="E30" s="377"/>
      <c r="F30" s="377"/>
      <c r="G30" s="377"/>
      <c r="H30" s="377"/>
      <c r="K30" s="214"/>
      <c r="L30" s="214"/>
      <c r="M30" s="214"/>
      <c r="N30" s="214"/>
      <c r="O30" s="214"/>
      <c r="P30" s="214"/>
    </row>
    <row r="31" spans="1:16" ht="13.25" customHeight="1" x14ac:dyDescent="0.25">
      <c r="A31" s="214"/>
      <c r="B31" s="381" t="s">
        <v>293</v>
      </c>
      <c r="C31" s="377">
        <f>'5-Year New Campus'!B47</f>
        <v>0</v>
      </c>
      <c r="D31" s="377">
        <f>'5-Year New Campus'!C47</f>
        <v>0</v>
      </c>
      <c r="E31" s="377">
        <f>'5-Year New Campus'!D47</f>
        <v>1</v>
      </c>
      <c r="F31" s="377">
        <f>'5-Year New Campus'!E47</f>
        <v>1</v>
      </c>
      <c r="G31" s="377">
        <f>'5-Year New Campus'!F47</f>
        <v>1</v>
      </c>
      <c r="H31" s="377">
        <f>'5-Year New Campus'!G47</f>
        <v>1</v>
      </c>
      <c r="K31" s="214"/>
      <c r="L31" s="214"/>
      <c r="M31" s="214"/>
      <c r="N31" s="214"/>
      <c r="O31" s="214"/>
      <c r="P31" s="214"/>
    </row>
    <row r="32" spans="1:16" ht="13.25" customHeight="1" x14ac:dyDescent="0.25">
      <c r="A32" s="214"/>
      <c r="B32" s="382"/>
      <c r="C32" s="377"/>
      <c r="D32" s="377"/>
      <c r="E32" s="377"/>
      <c r="F32" s="377"/>
      <c r="G32" s="377"/>
      <c r="H32" s="377"/>
      <c r="K32" s="214"/>
      <c r="L32" s="214"/>
      <c r="M32" s="214"/>
      <c r="N32" s="214"/>
      <c r="O32" s="214"/>
      <c r="P32" s="214"/>
    </row>
    <row r="33" spans="1:16" ht="13.25" customHeight="1" x14ac:dyDescent="0.25">
      <c r="A33" s="214"/>
      <c r="B33" s="381" t="s">
        <v>292</v>
      </c>
      <c r="C33" s="377">
        <f>'5-Year New Campus'!B56</f>
        <v>0</v>
      </c>
      <c r="D33" s="377">
        <f>'5-Year New Campus'!C56</f>
        <v>0</v>
      </c>
      <c r="E33" s="377">
        <f>'5-Year New Campus'!D56</f>
        <v>0</v>
      </c>
      <c r="F33" s="377">
        <f>'5-Year New Campus'!E56</f>
        <v>0</v>
      </c>
      <c r="G33" s="377">
        <f>'5-Year New Campus'!F56</f>
        <v>0</v>
      </c>
      <c r="H33" s="377">
        <f>'5-Year New Campus'!G56</f>
        <v>0</v>
      </c>
      <c r="K33" s="214"/>
      <c r="L33" s="214"/>
      <c r="M33" s="214"/>
      <c r="N33" s="214"/>
      <c r="O33" s="214"/>
      <c r="P33" s="214"/>
    </row>
    <row r="34" spans="1:16" ht="13.25" customHeight="1" x14ac:dyDescent="0.25">
      <c r="A34" s="214"/>
      <c r="B34" s="382"/>
      <c r="C34" s="377"/>
      <c r="D34" s="377"/>
      <c r="E34" s="377"/>
      <c r="F34" s="377"/>
      <c r="G34" s="377"/>
      <c r="H34" s="377"/>
      <c r="K34" s="214"/>
      <c r="L34" s="214"/>
      <c r="M34" s="214"/>
      <c r="N34" s="214"/>
      <c r="O34" s="214"/>
      <c r="P34" s="214"/>
    </row>
    <row r="35" spans="1:16" ht="14" x14ac:dyDescent="0.25">
      <c r="A35" s="214"/>
      <c r="B35" s="211" t="s">
        <v>291</v>
      </c>
      <c r="C35" s="248">
        <f>'5-Year New Campus'!B29</f>
        <v>0</v>
      </c>
      <c r="D35" s="248">
        <f>'5-Year New Campus'!C29</f>
        <v>21</v>
      </c>
      <c r="E35" s="248">
        <f>'5-Year New Campus'!D29</f>
        <v>27</v>
      </c>
      <c r="F35" s="248">
        <f>'5-Year New Campus'!E29</f>
        <v>32</v>
      </c>
      <c r="G35" s="248">
        <f>'5-Year New Campus'!F29</f>
        <v>36</v>
      </c>
      <c r="H35" s="248">
        <f>'5-Year New Campus'!G29</f>
        <v>36</v>
      </c>
      <c r="K35" s="214"/>
      <c r="L35" s="214"/>
      <c r="M35" s="214"/>
      <c r="N35" s="214"/>
      <c r="O35" s="214"/>
      <c r="P35" s="214"/>
    </row>
    <row r="36" spans="1:16" ht="14" x14ac:dyDescent="0.25">
      <c r="A36" s="214"/>
      <c r="B36" s="211" t="s">
        <v>290</v>
      </c>
      <c r="C36" s="248">
        <f>SUM('5-Year New Campus'!B31:B37)+'5-Year New Campus'!B61</f>
        <v>0</v>
      </c>
      <c r="D36" s="248">
        <f>SUM('5-Year New Campus'!C31:C37)+'5-Year New Campus'!C61</f>
        <v>4</v>
      </c>
      <c r="E36" s="248">
        <f>SUM('5-Year New Campus'!D31:D37)+'5-Year New Campus'!D61</f>
        <v>4.5</v>
      </c>
      <c r="F36" s="248">
        <f>SUM('5-Year New Campus'!E31:E37)+'5-Year New Campus'!E61</f>
        <v>6</v>
      </c>
      <c r="G36" s="248">
        <f>SUM('5-Year New Campus'!F31:F37)+'5-Year New Campus'!F61</f>
        <v>6</v>
      </c>
      <c r="H36" s="248">
        <f>SUM('5-Year New Campus'!G31:G37)+'5-Year New Campus'!G61</f>
        <v>6</v>
      </c>
      <c r="K36" s="214"/>
      <c r="L36" s="214"/>
      <c r="M36" s="214"/>
      <c r="N36" s="214"/>
      <c r="O36" s="214"/>
      <c r="P36" s="214"/>
    </row>
    <row r="37" spans="1:16" ht="14" x14ac:dyDescent="0.25">
      <c r="A37" s="214"/>
      <c r="B37" s="211" t="s">
        <v>289</v>
      </c>
      <c r="C37" s="248">
        <f>'5-Year New Campus'!B30</f>
        <v>0</v>
      </c>
      <c r="D37" s="248">
        <f>'5-Year New Campus'!C30</f>
        <v>4</v>
      </c>
      <c r="E37" s="248">
        <f>'5-Year New Campus'!D30</f>
        <v>4</v>
      </c>
      <c r="F37" s="248">
        <f>'5-Year New Campus'!E30</f>
        <v>5</v>
      </c>
      <c r="G37" s="248">
        <f>'5-Year New Campus'!F30</f>
        <v>6</v>
      </c>
      <c r="H37" s="248">
        <f>'5-Year New Campus'!G30</f>
        <v>7</v>
      </c>
      <c r="K37" s="214"/>
      <c r="L37" s="214"/>
      <c r="M37" s="214"/>
      <c r="N37" s="214"/>
      <c r="O37" s="214"/>
      <c r="P37" s="214"/>
    </row>
    <row r="38" spans="1:16" ht="14" x14ac:dyDescent="0.25">
      <c r="A38" s="214"/>
      <c r="B38" s="211" t="s">
        <v>332</v>
      </c>
      <c r="C38" s="248">
        <f>'5-Year New Campus'!B45</f>
        <v>0</v>
      </c>
      <c r="D38" s="248">
        <f>'5-Year New Campus'!C45</f>
        <v>1</v>
      </c>
      <c r="E38" s="248">
        <f>'5-Year New Campus'!D45</f>
        <v>1</v>
      </c>
      <c r="F38" s="248">
        <f>'5-Year New Campus'!E45</f>
        <v>1</v>
      </c>
      <c r="G38" s="248">
        <f>'5-Year New Campus'!F45</f>
        <v>1</v>
      </c>
      <c r="H38" s="248">
        <f>'5-Year New Campus'!G45</f>
        <v>1</v>
      </c>
      <c r="K38" s="214"/>
      <c r="L38" s="214"/>
      <c r="M38" s="214"/>
      <c r="N38" s="214"/>
      <c r="O38" s="214"/>
      <c r="P38" s="214"/>
    </row>
    <row r="39" spans="1:16" ht="14" x14ac:dyDescent="0.25">
      <c r="A39" s="214"/>
      <c r="B39" s="211" t="s">
        <v>43</v>
      </c>
      <c r="C39" s="248">
        <f>'5-Year New Campus'!B60</f>
        <v>0</v>
      </c>
      <c r="D39" s="248">
        <f>'5-Year New Campus'!C60</f>
        <v>0</v>
      </c>
      <c r="E39" s="248">
        <f>'5-Year New Campus'!D60</f>
        <v>0</v>
      </c>
      <c r="F39" s="248">
        <f>'5-Year New Campus'!E60</f>
        <v>0</v>
      </c>
      <c r="G39" s="248">
        <f>'5-Year New Campus'!F60</f>
        <v>0</v>
      </c>
      <c r="H39" s="248">
        <f>'5-Year New Campus'!G60</f>
        <v>0</v>
      </c>
      <c r="K39" s="214"/>
      <c r="L39" s="214"/>
      <c r="M39" s="214"/>
      <c r="N39" s="214"/>
      <c r="O39" s="214"/>
      <c r="P39" s="214"/>
    </row>
    <row r="40" spans="1:16" ht="14" x14ac:dyDescent="0.25">
      <c r="A40" s="214"/>
      <c r="B40" s="211" t="s">
        <v>288</v>
      </c>
      <c r="C40" s="248">
        <f>'5-Year New Campus'!B48</f>
        <v>0</v>
      </c>
      <c r="D40" s="248">
        <f>'5-Year New Campus'!C48</f>
        <v>1</v>
      </c>
      <c r="E40" s="248">
        <f>'5-Year New Campus'!D48</f>
        <v>1</v>
      </c>
      <c r="F40" s="248">
        <f>'5-Year New Campus'!E48</f>
        <v>1</v>
      </c>
      <c r="G40" s="248">
        <f>'5-Year New Campus'!F48</f>
        <v>1</v>
      </c>
      <c r="H40" s="248">
        <f>'5-Year New Campus'!G48</f>
        <v>1</v>
      </c>
      <c r="K40" s="214"/>
      <c r="L40" s="214"/>
      <c r="M40" s="214"/>
      <c r="N40" s="214"/>
      <c r="O40" s="214"/>
      <c r="P40" s="214"/>
    </row>
    <row r="41" spans="1:16" ht="14" x14ac:dyDescent="0.25">
      <c r="A41" s="214"/>
      <c r="B41" s="211" t="s">
        <v>34</v>
      </c>
      <c r="C41" s="248">
        <f>'5-Year New Campus'!B49</f>
        <v>0</v>
      </c>
      <c r="D41" s="248">
        <f>'5-Year New Campus'!C49</f>
        <v>1</v>
      </c>
      <c r="E41" s="248">
        <f>'5-Year New Campus'!D49</f>
        <v>1</v>
      </c>
      <c r="F41" s="248">
        <f>'5-Year New Campus'!E49</f>
        <v>1</v>
      </c>
      <c r="G41" s="248">
        <f>'5-Year New Campus'!F49</f>
        <v>1</v>
      </c>
      <c r="H41" s="248">
        <f>'5-Year New Campus'!G49</f>
        <v>1</v>
      </c>
      <c r="K41" s="214"/>
      <c r="L41" s="214"/>
      <c r="M41" s="214"/>
      <c r="N41" s="214"/>
      <c r="O41" s="214"/>
      <c r="P41" s="214"/>
    </row>
    <row r="42" spans="1:16" ht="14" x14ac:dyDescent="0.25">
      <c r="A42" s="214"/>
      <c r="B42" s="211" t="s">
        <v>287</v>
      </c>
      <c r="C42" s="248">
        <f>'5-Year New Campus'!B50+'5-Year New Campus'!B51</f>
        <v>0</v>
      </c>
      <c r="D42" s="248">
        <f>'5-Year New Campus'!C50+'5-Year New Campus'!C51</f>
        <v>2</v>
      </c>
      <c r="E42" s="248">
        <f>'5-Year New Campus'!D50+'5-Year New Campus'!D51</f>
        <v>2</v>
      </c>
      <c r="F42" s="248">
        <f>'5-Year New Campus'!E50+'5-Year New Campus'!E51</f>
        <v>2</v>
      </c>
      <c r="G42" s="248">
        <f>'5-Year New Campus'!F50+'5-Year New Campus'!F51</f>
        <v>2</v>
      </c>
      <c r="H42" s="248">
        <f>'5-Year New Campus'!G50+'5-Year New Campus'!G51</f>
        <v>2</v>
      </c>
      <c r="K42" s="214"/>
      <c r="L42" s="214"/>
      <c r="M42" s="214"/>
      <c r="N42" s="214"/>
      <c r="O42" s="214"/>
      <c r="P42" s="214"/>
    </row>
    <row r="43" spans="1:16" ht="14" x14ac:dyDescent="0.25">
      <c r="A43" s="214"/>
      <c r="B43" s="211" t="s">
        <v>324</v>
      </c>
      <c r="C43" s="248">
        <f>'5-Year New Campus'!B52</f>
        <v>0</v>
      </c>
      <c r="D43" s="248">
        <f>'5-Year New Campus'!C52</f>
        <v>2</v>
      </c>
      <c r="E43" s="248">
        <f>'5-Year New Campus'!D52</f>
        <v>5</v>
      </c>
      <c r="F43" s="248">
        <f>'5-Year New Campus'!E52</f>
        <v>7</v>
      </c>
      <c r="G43" s="248">
        <f>'5-Year New Campus'!F52</f>
        <v>9</v>
      </c>
      <c r="H43" s="248">
        <f>'5-Year New Campus'!G52</f>
        <v>10</v>
      </c>
      <c r="K43" s="214"/>
      <c r="L43" s="214"/>
      <c r="M43" s="214"/>
      <c r="N43" s="214"/>
      <c r="O43" s="214"/>
      <c r="P43" s="214"/>
    </row>
    <row r="44" spans="1:16" ht="14" x14ac:dyDescent="0.25">
      <c r="A44" s="214"/>
      <c r="B44" s="210" t="s">
        <v>285</v>
      </c>
      <c r="C44" s="248">
        <f>'5-Year New Campus'!B53+'5-Year New Campus'!B54</f>
        <v>0</v>
      </c>
      <c r="D44" s="248">
        <f>'5-Year New Campus'!C53+'5-Year New Campus'!C54</f>
        <v>2</v>
      </c>
      <c r="E44" s="248">
        <f>'5-Year New Campus'!D53+'5-Year New Campus'!D54</f>
        <v>2</v>
      </c>
      <c r="F44" s="248">
        <f>'5-Year New Campus'!E53+'5-Year New Campus'!E54</f>
        <v>2</v>
      </c>
      <c r="G44" s="248">
        <f>'5-Year New Campus'!F53+'5-Year New Campus'!F54</f>
        <v>2</v>
      </c>
      <c r="H44" s="248">
        <f>'5-Year New Campus'!G53+'5-Year New Campus'!G54</f>
        <v>2</v>
      </c>
      <c r="K44" s="214"/>
      <c r="L44" s="214"/>
      <c r="M44" s="214"/>
      <c r="N44" s="214"/>
      <c r="O44" s="214"/>
      <c r="P44" s="214"/>
    </row>
    <row r="45" spans="1:16" ht="14" x14ac:dyDescent="0.25">
      <c r="A45" s="214"/>
      <c r="B45" s="242" t="s">
        <v>323</v>
      </c>
      <c r="C45" s="241">
        <f t="shared" ref="C45:H45" si="2">SUM(C27:C44)</f>
        <v>0</v>
      </c>
      <c r="D45" s="241">
        <f t="shared" si="2"/>
        <v>39</v>
      </c>
      <c r="E45" s="241">
        <f t="shared" si="2"/>
        <v>50.5</v>
      </c>
      <c r="F45" s="241">
        <f t="shared" si="2"/>
        <v>61</v>
      </c>
      <c r="G45" s="241">
        <f t="shared" si="2"/>
        <v>69</v>
      </c>
      <c r="H45" s="241">
        <f t="shared" si="2"/>
        <v>71</v>
      </c>
      <c r="K45" s="214" t="b">
        <f>C45='5-Year New Campus'!B67</f>
        <v>1</v>
      </c>
      <c r="L45" s="214" t="b">
        <f>D45='5-Year New Campus'!C67</f>
        <v>1</v>
      </c>
      <c r="M45" s="214" t="b">
        <f>E45='5-Year New Campus'!D67</f>
        <v>1</v>
      </c>
      <c r="N45" s="214" t="b">
        <f>F45='5-Year New Campus'!E67</f>
        <v>1</v>
      </c>
      <c r="O45" s="214" t="b">
        <f>G45='5-Year New Campus'!F67</f>
        <v>1</v>
      </c>
      <c r="P45" s="214" t="b">
        <f>H45='5-Year New Campus'!G67</f>
        <v>1</v>
      </c>
    </row>
    <row r="46" spans="1:16" ht="14" x14ac:dyDescent="0.25">
      <c r="A46" s="214"/>
      <c r="B46" s="270"/>
      <c r="K46" s="214"/>
      <c r="L46" s="214"/>
      <c r="M46" s="214"/>
      <c r="N46" s="214"/>
      <c r="O46" s="214"/>
      <c r="P46" s="214"/>
    </row>
    <row r="47" spans="1:16" ht="14.5" thickBot="1" x14ac:dyDescent="0.35">
      <c r="A47" s="214"/>
      <c r="B47" s="269" t="s">
        <v>322</v>
      </c>
      <c r="K47" s="214"/>
      <c r="L47" s="214"/>
      <c r="M47" s="214"/>
      <c r="N47" s="214"/>
      <c r="O47" s="214"/>
      <c r="P47" s="214"/>
    </row>
    <row r="48" spans="1:16" ht="16.5" customHeight="1" thickTop="1" thickBot="1" x14ac:dyDescent="0.3">
      <c r="A48" s="214"/>
      <c r="B48" s="268" t="s">
        <v>201</v>
      </c>
      <c r="C48" s="267" t="s">
        <v>321</v>
      </c>
      <c r="D48" s="267" t="s">
        <v>320</v>
      </c>
      <c r="E48" s="267" t="s">
        <v>319</v>
      </c>
      <c r="F48" s="267" t="s">
        <v>318</v>
      </c>
      <c r="G48" s="266" t="s">
        <v>317</v>
      </c>
      <c r="H48" s="266" t="s">
        <v>316</v>
      </c>
      <c r="K48" s="214"/>
      <c r="L48" s="214"/>
      <c r="M48" s="214"/>
      <c r="N48" s="214"/>
      <c r="O48" s="214"/>
      <c r="P48" s="214"/>
    </row>
    <row r="49" spans="1:16" ht="14.5" thickTop="1" x14ac:dyDescent="0.25">
      <c r="A49" s="214"/>
      <c r="B49" s="211" t="s">
        <v>315</v>
      </c>
      <c r="C49" s="248">
        <v>1</v>
      </c>
      <c r="D49" s="248">
        <v>2</v>
      </c>
      <c r="E49" s="248">
        <v>2</v>
      </c>
      <c r="F49" s="248">
        <v>2</v>
      </c>
      <c r="G49" s="248">
        <v>2</v>
      </c>
      <c r="H49" s="248">
        <v>2</v>
      </c>
      <c r="M49" s="214"/>
      <c r="N49" s="214"/>
      <c r="O49" s="214"/>
      <c r="P49" s="214"/>
    </row>
    <row r="50" spans="1:16" ht="14" x14ac:dyDescent="0.25">
      <c r="A50" s="214"/>
      <c r="B50" s="211" t="s">
        <v>314</v>
      </c>
      <c r="C50" s="248">
        <v>1</v>
      </c>
      <c r="D50" s="248">
        <v>1</v>
      </c>
      <c r="E50" s="248">
        <v>2</v>
      </c>
      <c r="F50" s="248">
        <v>2</v>
      </c>
      <c r="G50" s="248">
        <v>2</v>
      </c>
      <c r="H50" s="248">
        <v>2</v>
      </c>
      <c r="M50" s="214"/>
      <c r="N50" s="214"/>
      <c r="O50" s="214"/>
      <c r="P50" s="214"/>
    </row>
    <row r="51" spans="1:16" ht="14" x14ac:dyDescent="0.25">
      <c r="A51" s="214"/>
      <c r="B51" s="210" t="s">
        <v>313</v>
      </c>
      <c r="C51" s="265">
        <v>0</v>
      </c>
      <c r="D51" s="265">
        <v>0</v>
      </c>
      <c r="E51" s="265">
        <v>0</v>
      </c>
      <c r="F51" s="265">
        <v>0</v>
      </c>
      <c r="G51" s="265">
        <v>0</v>
      </c>
      <c r="H51" s="265">
        <v>0</v>
      </c>
      <c r="M51" s="214"/>
      <c r="N51" s="214"/>
      <c r="O51" s="214"/>
      <c r="P51" s="214"/>
    </row>
    <row r="52" spans="1:16" ht="14" x14ac:dyDescent="0.25">
      <c r="A52" s="214"/>
      <c r="B52" s="244" t="s">
        <v>312</v>
      </c>
      <c r="C52" s="243">
        <f t="shared" ref="C52:H52" si="3">SUM(C49:C51)</f>
        <v>2</v>
      </c>
      <c r="D52" s="243">
        <f t="shared" si="3"/>
        <v>3</v>
      </c>
      <c r="E52" s="243">
        <f t="shared" si="3"/>
        <v>4</v>
      </c>
      <c r="F52" s="243">
        <f t="shared" si="3"/>
        <v>4</v>
      </c>
      <c r="G52" s="243">
        <f t="shared" si="3"/>
        <v>4</v>
      </c>
      <c r="H52" s="243">
        <f t="shared" si="3"/>
        <v>4</v>
      </c>
      <c r="M52" s="214"/>
      <c r="N52" s="214"/>
      <c r="O52" s="214"/>
      <c r="P52" s="214"/>
    </row>
    <row r="53" spans="1:16" ht="14" x14ac:dyDescent="0.25">
      <c r="A53" s="214"/>
      <c r="B53" s="264" t="s">
        <v>311</v>
      </c>
      <c r="C53" s="241">
        <f>'5-Year DANN System'!B19</f>
        <v>965</v>
      </c>
      <c r="D53" s="241">
        <f>'5-Year DANN System'!C19</f>
        <v>1540</v>
      </c>
      <c r="E53" s="241">
        <f>'5-Year DANN System'!D19</f>
        <v>1717</v>
      </c>
      <c r="F53" s="241">
        <f>'5-Year DANN System'!E19</f>
        <v>1868</v>
      </c>
      <c r="G53" s="241">
        <f>'5-Year DANN System'!F19</f>
        <v>1992</v>
      </c>
      <c r="H53" s="241">
        <f>'5-Year DANN System'!G19</f>
        <v>1992</v>
      </c>
      <c r="M53" s="214"/>
      <c r="N53" s="214"/>
      <c r="O53" s="214"/>
      <c r="P53" s="214"/>
    </row>
    <row r="54" spans="1:16" ht="14" x14ac:dyDescent="0.25">
      <c r="A54" s="214"/>
      <c r="B54" s="263"/>
      <c r="C54" s="263"/>
      <c r="D54" s="263"/>
      <c r="E54" s="263"/>
      <c r="F54" s="263"/>
      <c r="G54" s="263"/>
      <c r="H54" s="263"/>
      <c r="M54" s="214"/>
      <c r="N54" s="214"/>
      <c r="O54" s="214"/>
      <c r="P54" s="214"/>
    </row>
    <row r="55" spans="1:16" ht="14" x14ac:dyDescent="0.25">
      <c r="A55" s="214"/>
      <c r="B55" s="262" t="s">
        <v>310</v>
      </c>
      <c r="C55" s="258"/>
      <c r="D55" s="258"/>
      <c r="E55" s="258"/>
      <c r="F55" s="258"/>
      <c r="G55" s="258"/>
      <c r="H55" s="261"/>
      <c r="K55" s="214"/>
      <c r="L55" s="214"/>
      <c r="M55" s="214"/>
      <c r="N55" s="214"/>
      <c r="O55" s="214"/>
      <c r="P55" s="214"/>
    </row>
    <row r="56" spans="1:16" ht="14" x14ac:dyDescent="0.25">
      <c r="A56" s="214"/>
      <c r="B56" s="260" t="s">
        <v>309</v>
      </c>
      <c r="C56" s="259">
        <v>1</v>
      </c>
      <c r="D56" s="259">
        <v>1</v>
      </c>
      <c r="E56" s="259">
        <v>1</v>
      </c>
      <c r="F56" s="259">
        <v>1</v>
      </c>
      <c r="G56" s="259">
        <v>1</v>
      </c>
      <c r="H56" s="259">
        <v>1</v>
      </c>
      <c r="K56" s="214"/>
      <c r="L56" s="214"/>
      <c r="M56" s="214"/>
      <c r="N56" s="214"/>
      <c r="O56" s="214"/>
      <c r="P56" s="214"/>
    </row>
    <row r="57" spans="1:16" ht="14" x14ac:dyDescent="0.25">
      <c r="A57" s="214"/>
      <c r="B57" s="211" t="s">
        <v>308</v>
      </c>
      <c r="C57" s="259">
        <v>1</v>
      </c>
      <c r="D57" s="259">
        <v>1</v>
      </c>
      <c r="E57" s="259">
        <v>1</v>
      </c>
      <c r="F57" s="259">
        <v>1</v>
      </c>
      <c r="G57" s="259">
        <v>1</v>
      </c>
      <c r="H57" s="259">
        <v>1</v>
      </c>
      <c r="K57" s="214"/>
      <c r="L57" s="214"/>
      <c r="M57" s="214"/>
      <c r="N57" s="214"/>
      <c r="O57" s="214"/>
      <c r="P57" s="214"/>
    </row>
    <row r="58" spans="1:16" ht="14" x14ac:dyDescent="0.25">
      <c r="A58" s="214"/>
      <c r="B58" s="211" t="s">
        <v>307</v>
      </c>
      <c r="C58" s="259">
        <v>1</v>
      </c>
      <c r="D58" s="259">
        <v>1</v>
      </c>
      <c r="E58" s="259">
        <v>1</v>
      </c>
      <c r="F58" s="259">
        <v>1</v>
      </c>
      <c r="G58" s="259">
        <v>1</v>
      </c>
      <c r="H58" s="259">
        <v>1</v>
      </c>
      <c r="K58" s="214"/>
      <c r="L58" s="214"/>
      <c r="M58" s="214"/>
      <c r="N58" s="214"/>
      <c r="O58" s="214"/>
      <c r="P58" s="214"/>
    </row>
    <row r="59" spans="1:16" ht="14" x14ac:dyDescent="0.25">
      <c r="A59" s="214"/>
      <c r="B59" s="211" t="s">
        <v>306</v>
      </c>
      <c r="C59" s="259">
        <v>1</v>
      </c>
      <c r="D59" s="259">
        <v>1</v>
      </c>
      <c r="E59" s="259">
        <v>1</v>
      </c>
      <c r="F59" s="259">
        <v>1</v>
      </c>
      <c r="G59" s="259">
        <v>1</v>
      </c>
      <c r="H59" s="259">
        <v>1</v>
      </c>
      <c r="K59" s="214"/>
      <c r="L59" s="214"/>
      <c r="M59" s="214"/>
      <c r="N59" s="214"/>
      <c r="O59" s="214"/>
      <c r="P59" s="214"/>
    </row>
    <row r="60" spans="1:16" ht="14" x14ac:dyDescent="0.25">
      <c r="A60" s="214"/>
      <c r="B60" s="211" t="s">
        <v>305</v>
      </c>
      <c r="C60" s="259">
        <v>1</v>
      </c>
      <c r="D60" s="259">
        <v>1</v>
      </c>
      <c r="E60" s="259">
        <v>1</v>
      </c>
      <c r="F60" s="259">
        <v>1</v>
      </c>
      <c r="G60" s="259">
        <v>1</v>
      </c>
      <c r="H60" s="259">
        <v>1</v>
      </c>
      <c r="K60" s="214"/>
      <c r="L60" s="214"/>
      <c r="M60" s="214"/>
      <c r="N60" s="214"/>
      <c r="O60" s="214"/>
      <c r="P60" s="214"/>
    </row>
    <row r="61" spans="1:16" ht="14" x14ac:dyDescent="0.25">
      <c r="A61" s="214"/>
      <c r="B61" s="211" t="s">
        <v>304</v>
      </c>
      <c r="C61" s="259">
        <v>1</v>
      </c>
      <c r="D61" s="259">
        <v>1</v>
      </c>
      <c r="E61" s="259">
        <v>1</v>
      </c>
      <c r="F61" s="259">
        <v>1</v>
      </c>
      <c r="G61" s="259">
        <v>1</v>
      </c>
      <c r="H61" s="259">
        <v>1</v>
      </c>
      <c r="K61" s="214"/>
      <c r="L61" s="214"/>
      <c r="M61" s="214"/>
      <c r="N61" s="214"/>
      <c r="O61" s="214"/>
      <c r="P61" s="214"/>
    </row>
    <row r="62" spans="1:16" ht="28" x14ac:dyDescent="0.25">
      <c r="A62" s="214"/>
      <c r="B62" s="211" t="s">
        <v>303</v>
      </c>
      <c r="C62" s="248">
        <v>2</v>
      </c>
      <c r="D62" s="248">
        <v>2</v>
      </c>
      <c r="E62" s="248">
        <v>2</v>
      </c>
      <c r="F62" s="248">
        <v>2</v>
      </c>
      <c r="G62" s="248">
        <v>2</v>
      </c>
      <c r="H62" s="248">
        <v>2</v>
      </c>
      <c r="K62" s="214"/>
      <c r="L62" s="214"/>
      <c r="M62" s="214"/>
      <c r="N62" s="214"/>
      <c r="O62" s="214"/>
      <c r="P62" s="214"/>
    </row>
    <row r="63" spans="1:16" ht="14" x14ac:dyDescent="0.25">
      <c r="A63" s="214"/>
      <c r="B63" s="210" t="s">
        <v>302</v>
      </c>
      <c r="C63" s="259">
        <v>1</v>
      </c>
      <c r="D63" s="259">
        <v>1</v>
      </c>
      <c r="E63" s="259">
        <v>1</v>
      </c>
      <c r="F63" s="259">
        <v>1</v>
      </c>
      <c r="G63" s="259">
        <v>1</v>
      </c>
      <c r="H63" s="259">
        <v>1</v>
      </c>
      <c r="K63" s="214"/>
      <c r="L63" s="214"/>
      <c r="M63" s="214"/>
      <c r="N63" s="214"/>
      <c r="O63" s="214"/>
      <c r="P63" s="214"/>
    </row>
    <row r="64" spans="1:16" ht="14" x14ac:dyDescent="0.25">
      <c r="A64" s="214"/>
      <c r="B64" s="242" t="s">
        <v>301</v>
      </c>
      <c r="C64" s="241">
        <f t="shared" ref="C64:H64" si="4">SUM(C56:C63)</f>
        <v>9</v>
      </c>
      <c r="D64" s="241">
        <f t="shared" si="4"/>
        <v>9</v>
      </c>
      <c r="E64" s="241">
        <f t="shared" si="4"/>
        <v>9</v>
      </c>
      <c r="F64" s="241">
        <f t="shared" si="4"/>
        <v>9</v>
      </c>
      <c r="G64" s="241">
        <f t="shared" si="4"/>
        <v>9</v>
      </c>
      <c r="H64" s="241">
        <f t="shared" si="4"/>
        <v>9</v>
      </c>
      <c r="K64" s="214"/>
      <c r="L64" s="214"/>
      <c r="M64" s="214"/>
      <c r="N64" s="214"/>
      <c r="O64" s="214"/>
      <c r="P64" s="214"/>
    </row>
    <row r="65" spans="1:21" ht="14" x14ac:dyDescent="0.25">
      <c r="A65" s="214"/>
      <c r="B65" s="252"/>
      <c r="C65" s="252"/>
      <c r="D65" s="252"/>
      <c r="E65" s="252"/>
      <c r="F65" s="252"/>
      <c r="G65" s="252"/>
      <c r="H65" s="252"/>
      <c r="K65" s="214"/>
      <c r="L65" s="214"/>
      <c r="M65" s="214"/>
      <c r="N65" s="214"/>
      <c r="O65" s="214"/>
      <c r="P65" s="214"/>
    </row>
    <row r="66" spans="1:21" ht="14" x14ac:dyDescent="0.25">
      <c r="A66" s="214"/>
      <c r="B66" s="258" t="s">
        <v>300</v>
      </c>
      <c r="C66" s="258"/>
      <c r="D66" s="258"/>
      <c r="E66" s="258"/>
      <c r="F66" s="258"/>
      <c r="G66" s="258"/>
      <c r="H66" s="258"/>
      <c r="K66" s="214"/>
      <c r="L66" s="214"/>
      <c r="M66" s="214"/>
      <c r="N66" s="214"/>
      <c r="O66" s="214"/>
      <c r="P66" s="214"/>
    </row>
    <row r="67" spans="1:21" ht="14" x14ac:dyDescent="0.25">
      <c r="A67" s="214"/>
      <c r="B67" s="211" t="s">
        <v>295</v>
      </c>
      <c r="C67" s="249">
        <f>'5-Year DANN System'!B42/2</f>
        <v>0.5</v>
      </c>
      <c r="D67" s="248">
        <f>'5-Year DANN System'!C42/2</f>
        <v>1</v>
      </c>
      <c r="E67" s="248">
        <f>'5-Year DANN System'!D42/2</f>
        <v>1</v>
      </c>
      <c r="F67" s="248">
        <f>'5-Year DANN System'!E42/2</f>
        <v>1</v>
      </c>
      <c r="G67" s="248">
        <f>'5-Year DANN System'!F42/2</f>
        <v>1</v>
      </c>
      <c r="H67" s="248">
        <f>'5-Year DANN System'!G42/2</f>
        <v>1</v>
      </c>
      <c r="J67" s="214"/>
      <c r="K67" s="214"/>
      <c r="L67" s="214"/>
      <c r="M67" s="214"/>
      <c r="N67" s="214"/>
      <c r="O67" s="214"/>
      <c r="P67" s="214"/>
    </row>
    <row r="68" spans="1:21" ht="14" x14ac:dyDescent="0.25">
      <c r="A68" s="214"/>
      <c r="B68" s="211" t="s">
        <v>294</v>
      </c>
      <c r="C68" s="248">
        <f>'5-Year DANN System'!B43/2</f>
        <v>0.5</v>
      </c>
      <c r="D68" s="248">
        <f>'5-Year DANN System'!C43/2</f>
        <v>1</v>
      </c>
      <c r="E68" s="248">
        <f>'5-Year DANN System'!D43/2</f>
        <v>1.5</v>
      </c>
      <c r="F68" s="248">
        <f>'5-Year DANN System'!E43/2</f>
        <v>1.5</v>
      </c>
      <c r="G68" s="248">
        <f>'5-Year DANN System'!F43/2</f>
        <v>2</v>
      </c>
      <c r="H68" s="248">
        <f>'5-Year DANN System'!G43/2</f>
        <v>2</v>
      </c>
      <c r="J68" s="214"/>
      <c r="K68" s="214"/>
      <c r="L68" s="214"/>
      <c r="M68" s="214"/>
      <c r="N68" s="214"/>
      <c r="O68" s="214"/>
      <c r="P68" s="214"/>
    </row>
    <row r="69" spans="1:21" ht="13.25" customHeight="1" x14ac:dyDescent="0.25">
      <c r="A69" s="214"/>
      <c r="B69" s="381" t="s">
        <v>331</v>
      </c>
      <c r="C69" s="383">
        <f>'5-Year DANN System'!B46/2</f>
        <v>0.5</v>
      </c>
      <c r="D69" s="383">
        <f>'5-Year DANN System'!C46/2</f>
        <v>0.5</v>
      </c>
      <c r="E69" s="383">
        <f>'5-Year DANN System'!D46/2</f>
        <v>0.5</v>
      </c>
      <c r="F69" s="377">
        <f>'5-Year DANN System'!E46/2</f>
        <v>1</v>
      </c>
      <c r="G69" s="377">
        <f>'5-Year DANN System'!F46/2</f>
        <v>1</v>
      </c>
      <c r="H69" s="377">
        <f>'5-Year DANN System'!G46/2</f>
        <v>1</v>
      </c>
      <c r="J69" s="214"/>
      <c r="K69" s="214"/>
      <c r="L69" s="214"/>
      <c r="M69" s="214"/>
      <c r="N69" s="214"/>
      <c r="O69" s="214"/>
      <c r="P69" s="214"/>
      <c r="U69" s="257"/>
    </row>
    <row r="70" spans="1:21" ht="13.25" customHeight="1" x14ac:dyDescent="0.25">
      <c r="A70" s="214"/>
      <c r="B70" s="382"/>
      <c r="C70" s="383"/>
      <c r="D70" s="383"/>
      <c r="E70" s="383"/>
      <c r="F70" s="377"/>
      <c r="G70" s="377"/>
      <c r="H70" s="377"/>
      <c r="J70" s="214"/>
      <c r="K70" s="214"/>
      <c r="L70" s="214"/>
      <c r="M70" s="214"/>
      <c r="N70" s="214"/>
      <c r="O70" s="214"/>
      <c r="P70" s="214"/>
    </row>
    <row r="71" spans="1:21" ht="13.25" customHeight="1" x14ac:dyDescent="0.25">
      <c r="A71" s="214"/>
      <c r="B71" s="381" t="s">
        <v>293</v>
      </c>
      <c r="C71" s="383">
        <f>'5-Year DANN System'!B47/2</f>
        <v>0.5</v>
      </c>
      <c r="D71" s="383">
        <f>'5-Year DANN System'!C47/2</f>
        <v>0.5</v>
      </c>
      <c r="E71" s="377">
        <f>'5-Year DANN System'!D47/2</f>
        <v>1</v>
      </c>
      <c r="F71" s="377">
        <f>'5-Year DANN System'!E47/2</f>
        <v>1</v>
      </c>
      <c r="G71" s="377">
        <f>'5-Year DANN System'!F47/2</f>
        <v>1</v>
      </c>
      <c r="H71" s="377">
        <f>'5-Year DANN System'!G47/2</f>
        <v>1</v>
      </c>
      <c r="J71" s="214"/>
      <c r="K71" s="214"/>
      <c r="L71" s="214"/>
      <c r="M71" s="214"/>
      <c r="N71" s="214"/>
      <c r="O71" s="214"/>
      <c r="P71" s="214"/>
    </row>
    <row r="72" spans="1:21" ht="13.25" customHeight="1" x14ac:dyDescent="0.25">
      <c r="A72" s="214"/>
      <c r="B72" s="382"/>
      <c r="C72" s="383"/>
      <c r="D72" s="383"/>
      <c r="E72" s="377"/>
      <c r="F72" s="377"/>
      <c r="G72" s="377"/>
      <c r="H72" s="377"/>
      <c r="J72" s="214"/>
      <c r="K72" s="214"/>
      <c r="L72" s="214"/>
      <c r="M72" s="214"/>
      <c r="N72" s="214"/>
      <c r="O72" s="214"/>
      <c r="P72" s="214"/>
    </row>
    <row r="73" spans="1:21" ht="13.25" customHeight="1" x14ac:dyDescent="0.25">
      <c r="A73" s="214"/>
      <c r="B73" s="381" t="s">
        <v>292</v>
      </c>
      <c r="C73" s="383">
        <f>('5-Year DANN System'!B56+'5-Year DANN System'!B57)/2</f>
        <v>0.5</v>
      </c>
      <c r="D73" s="383">
        <f>('5-Year DANN System'!C56+'5-Year DANN System'!C57)/2</f>
        <v>0.5</v>
      </c>
      <c r="E73" s="383">
        <f>('5-Year DANN System'!D56+'5-Year DANN System'!D57)/2</f>
        <v>0.5</v>
      </c>
      <c r="F73" s="383">
        <f>('5-Year DANN System'!E56+'5-Year DANN System'!E57)/2</f>
        <v>0.5</v>
      </c>
      <c r="G73" s="383">
        <f>('5-Year DANN System'!F56+'5-Year DANN System'!F57)/2</f>
        <v>0.5</v>
      </c>
      <c r="H73" s="383">
        <f>('5-Year DANN System'!G56+'5-Year DANN System'!G57)/2</f>
        <v>0.5</v>
      </c>
      <c r="J73" s="214"/>
      <c r="K73" s="214"/>
      <c r="L73" s="214"/>
      <c r="M73" s="214"/>
      <c r="N73" s="214"/>
      <c r="O73" s="214"/>
      <c r="P73" s="214"/>
    </row>
    <row r="74" spans="1:21" ht="13.25" customHeight="1" x14ac:dyDescent="0.25">
      <c r="A74" s="214"/>
      <c r="B74" s="382"/>
      <c r="C74" s="383"/>
      <c r="D74" s="383"/>
      <c r="E74" s="383"/>
      <c r="F74" s="383"/>
      <c r="G74" s="383"/>
      <c r="H74" s="383"/>
      <c r="J74" s="214"/>
      <c r="K74" s="214"/>
      <c r="L74" s="214"/>
      <c r="M74" s="214"/>
      <c r="N74" s="214"/>
      <c r="O74" s="214"/>
      <c r="P74" s="214"/>
    </row>
    <row r="75" spans="1:21" ht="14" x14ac:dyDescent="0.25">
      <c r="A75" s="214"/>
      <c r="B75" s="211" t="s">
        <v>291</v>
      </c>
      <c r="C75" s="248">
        <f>SUM('5-Year DANN System'!I6:I11)</f>
        <v>24</v>
      </c>
      <c r="D75" s="248">
        <f>SUM('5-Year DANN System'!J6:J11)</f>
        <v>45</v>
      </c>
      <c r="E75" s="248">
        <f>SUM('5-Year DANN System'!K6:K11)</f>
        <v>47</v>
      </c>
      <c r="F75" s="248">
        <f>SUM('5-Year DANN System'!L6:L11)</f>
        <v>48</v>
      </c>
      <c r="G75" s="248">
        <f>SUM('5-Year DANN System'!M6:M11)</f>
        <v>48</v>
      </c>
      <c r="H75" s="248">
        <f>SUM('5-Year DANN System'!N6:N11)</f>
        <v>48</v>
      </c>
      <c r="J75" s="214"/>
      <c r="K75" s="214"/>
      <c r="L75" s="214"/>
      <c r="M75" s="214"/>
      <c r="N75" s="214"/>
      <c r="O75" s="214"/>
      <c r="P75" s="214"/>
    </row>
    <row r="76" spans="1:21" ht="14" x14ac:dyDescent="0.25">
      <c r="A76" s="214"/>
      <c r="B76" s="211" t="s">
        <v>290</v>
      </c>
      <c r="C76" s="362">
        <f>(SUM('5-Year DANN System'!B31:B38)+'5-Year DANN System'!B61)/2</f>
        <v>3.25</v>
      </c>
      <c r="D76" s="362">
        <f>(SUM('5-Year DANN System'!C31:C38)+'5-Year DANN System'!C61)/2</f>
        <v>5.5</v>
      </c>
      <c r="E76" s="249">
        <v>6</v>
      </c>
      <c r="F76" s="249">
        <v>6</v>
      </c>
      <c r="G76" s="249">
        <v>6</v>
      </c>
      <c r="H76" s="249">
        <v>6</v>
      </c>
      <c r="J76" s="214"/>
      <c r="K76" s="214"/>
      <c r="L76" s="214"/>
      <c r="M76" s="214"/>
      <c r="N76" s="214"/>
      <c r="O76" s="214"/>
      <c r="P76" s="214"/>
    </row>
    <row r="77" spans="1:21" ht="14" x14ac:dyDescent="0.25">
      <c r="A77" s="214"/>
      <c r="B77" s="211" t="s">
        <v>289</v>
      </c>
      <c r="C77" s="249">
        <f>'5-Year DANN System'!B30/2</f>
        <v>1.5</v>
      </c>
      <c r="D77" s="362">
        <f>'5-Year DANN System'!C30/2</f>
        <v>3.75</v>
      </c>
      <c r="E77" s="362">
        <f>'5-Year DANN System'!D30/2</f>
        <v>3.75</v>
      </c>
      <c r="F77" s="362">
        <f>'5-Year DANN System'!E30/2</f>
        <v>4.25</v>
      </c>
      <c r="G77" s="362">
        <f>'5-Year DANN System'!F30/2</f>
        <v>4.75</v>
      </c>
      <c r="H77" s="362">
        <f>'5-Year DANN System'!G30/2</f>
        <v>5.25</v>
      </c>
      <c r="J77" s="358"/>
      <c r="K77" s="358"/>
      <c r="L77" s="358"/>
      <c r="M77" s="358"/>
      <c r="N77" s="358"/>
      <c r="O77" s="358"/>
      <c r="P77" s="214"/>
    </row>
    <row r="78" spans="1:21" ht="14" x14ac:dyDescent="0.25">
      <c r="A78" s="214"/>
      <c r="B78" s="211" t="s">
        <v>332</v>
      </c>
      <c r="C78" s="249">
        <f>SUM('5-Year DANN System'!B44:B45)/2</f>
        <v>0.5</v>
      </c>
      <c r="D78" s="249">
        <f>SUM('5-Year DANN System'!C44:C45)/2</f>
        <v>1</v>
      </c>
      <c r="E78" s="249">
        <f>SUM('5-Year DANN System'!D44:D45)/2</f>
        <v>1</v>
      </c>
      <c r="F78" s="249">
        <f>SUM('5-Year DANN System'!E44:E45)/2</f>
        <v>1</v>
      </c>
      <c r="G78" s="249">
        <f>SUM('5-Year DANN System'!F44:F45)/2</f>
        <v>1</v>
      </c>
      <c r="H78" s="249">
        <f>SUM('5-Year DANN System'!G44:G45)/2</f>
        <v>1</v>
      </c>
      <c r="J78" s="358"/>
      <c r="K78" s="358"/>
      <c r="L78" s="358"/>
      <c r="M78" s="358"/>
      <c r="N78" s="358"/>
      <c r="O78" s="358"/>
      <c r="P78" s="214"/>
    </row>
    <row r="79" spans="1:21" ht="14" x14ac:dyDescent="0.25">
      <c r="A79" s="214"/>
      <c r="B79" s="211" t="s">
        <v>43</v>
      </c>
      <c r="C79" s="248">
        <f>'5-Year DANN System'!B60/2</f>
        <v>0</v>
      </c>
      <c r="D79" s="248">
        <f>'5-Year DANN System'!C60/2</f>
        <v>0</v>
      </c>
      <c r="E79" s="248">
        <f>'5-Year DANN System'!D60/2</f>
        <v>0</v>
      </c>
      <c r="F79" s="248">
        <f>'5-Year DANN System'!E60/2</f>
        <v>0</v>
      </c>
      <c r="G79" s="248">
        <f>'5-Year DANN System'!F60/2</f>
        <v>0</v>
      </c>
      <c r="H79" s="248">
        <f>'5-Year DANN System'!G60/2</f>
        <v>0</v>
      </c>
      <c r="J79" s="214"/>
      <c r="K79" s="214"/>
      <c r="L79" s="214"/>
      <c r="M79" s="214"/>
      <c r="N79" s="214"/>
      <c r="O79" s="214"/>
      <c r="P79" s="214"/>
    </row>
    <row r="80" spans="1:21" ht="14" x14ac:dyDescent="0.25">
      <c r="A80" s="214"/>
      <c r="B80" s="211" t="s">
        <v>288</v>
      </c>
      <c r="C80" s="248">
        <f>'5-Year DANN System'!B48/2</f>
        <v>1</v>
      </c>
      <c r="D80" s="249">
        <f>'5-Year DANN System'!C48/2</f>
        <v>1.5</v>
      </c>
      <c r="E80" s="249">
        <f>'5-Year DANN System'!D48/2</f>
        <v>1.5</v>
      </c>
      <c r="F80" s="249">
        <f>'5-Year DANN System'!E48/2</f>
        <v>1.5</v>
      </c>
      <c r="G80" s="249">
        <f>'5-Year DANN System'!F48/2</f>
        <v>1.5</v>
      </c>
      <c r="H80" s="249">
        <f>'5-Year DANN System'!G48/2</f>
        <v>1.5</v>
      </c>
      <c r="J80" s="214"/>
      <c r="K80" s="214"/>
      <c r="L80" s="214"/>
      <c r="M80" s="214"/>
      <c r="N80" s="214"/>
      <c r="O80" s="214"/>
      <c r="P80" s="214"/>
    </row>
    <row r="81" spans="1:16" ht="14" x14ac:dyDescent="0.25">
      <c r="A81" s="214"/>
      <c r="B81" s="211" t="s">
        <v>34</v>
      </c>
      <c r="C81" s="249">
        <f>'5-Year DANN System'!B49/2</f>
        <v>0.5</v>
      </c>
      <c r="D81" s="248">
        <f>'5-Year DANN System'!C49/2</f>
        <v>1</v>
      </c>
      <c r="E81" s="248">
        <f>'5-Year DANN System'!D49/2</f>
        <v>1</v>
      </c>
      <c r="F81" s="248">
        <f>'5-Year DANN System'!E49/2</f>
        <v>1</v>
      </c>
      <c r="G81" s="248">
        <f>'5-Year DANN System'!F49/2</f>
        <v>1</v>
      </c>
      <c r="H81" s="248">
        <f>'5-Year DANN System'!G49/2</f>
        <v>1</v>
      </c>
      <c r="J81" s="214"/>
      <c r="K81" s="214"/>
      <c r="L81" s="214"/>
      <c r="M81" s="214"/>
      <c r="N81" s="214"/>
      <c r="O81" s="214"/>
      <c r="P81" s="214"/>
    </row>
    <row r="82" spans="1:16" ht="14" x14ac:dyDescent="0.25">
      <c r="A82" s="214"/>
      <c r="B82" s="211" t="s">
        <v>287</v>
      </c>
      <c r="C82" s="248">
        <f>SUM('5-Year DANN System'!B50:B51)/2</f>
        <v>1</v>
      </c>
      <c r="D82" s="248">
        <f>SUM('5-Year DANN System'!C50:C51)/2</f>
        <v>2</v>
      </c>
      <c r="E82" s="248">
        <f>SUM('5-Year DANN System'!D50:D51)/2</f>
        <v>2</v>
      </c>
      <c r="F82" s="248">
        <f>SUM('5-Year DANN System'!E50:E51)/2</f>
        <v>2</v>
      </c>
      <c r="G82" s="248">
        <f>SUM('5-Year DANN System'!F50:F51)/2</f>
        <v>2</v>
      </c>
      <c r="H82" s="248">
        <f>SUM('5-Year DANN System'!G50:G51)/2</f>
        <v>2</v>
      </c>
      <c r="J82" s="214"/>
      <c r="K82" s="214"/>
      <c r="L82" s="214"/>
      <c r="M82" s="214"/>
      <c r="N82" s="214"/>
      <c r="O82" s="214"/>
      <c r="P82" s="214"/>
    </row>
    <row r="83" spans="1:16" ht="14" x14ac:dyDescent="0.25">
      <c r="A83" s="214"/>
      <c r="B83" s="211" t="s">
        <v>286</v>
      </c>
      <c r="C83" s="249">
        <f>'5-Year DANN System'!B52/2</f>
        <v>3.5</v>
      </c>
      <c r="D83" s="249">
        <f>'5-Year DANN System'!C52/2</f>
        <v>4.5</v>
      </c>
      <c r="E83" s="248">
        <f>'5-Year DANN System'!D52/2</f>
        <v>6</v>
      </c>
      <c r="F83" s="248">
        <f>'5-Year DANN System'!E52/2</f>
        <v>7</v>
      </c>
      <c r="G83" s="248">
        <f>'5-Year DANN System'!F52/2</f>
        <v>8</v>
      </c>
      <c r="H83" s="249">
        <f>'5-Year DANN System'!G52/2</f>
        <v>8.5</v>
      </c>
      <c r="J83" s="214"/>
      <c r="K83" s="214"/>
      <c r="L83" s="214"/>
      <c r="M83" s="214"/>
      <c r="N83" s="214"/>
      <c r="O83" s="214"/>
      <c r="P83" s="214"/>
    </row>
    <row r="84" spans="1:16" ht="14" x14ac:dyDescent="0.25">
      <c r="A84" s="214"/>
      <c r="B84" s="210" t="s">
        <v>285</v>
      </c>
      <c r="C84" s="248">
        <f>SUM('5-Year DANN System'!B53:B54)/2</f>
        <v>1</v>
      </c>
      <c r="D84" s="248">
        <f>SUM('5-Year DANN System'!C53:C54)/2</f>
        <v>2</v>
      </c>
      <c r="E84" s="248">
        <f>SUM('5-Year DANN System'!D53:D54)/2</f>
        <v>2</v>
      </c>
      <c r="F84" s="248">
        <f>SUM('5-Year DANN System'!E53:E54)/2</f>
        <v>2</v>
      </c>
      <c r="G84" s="248">
        <f>SUM('5-Year DANN System'!F53:F54)/2</f>
        <v>2</v>
      </c>
      <c r="H84" s="248">
        <f>SUM('5-Year DANN System'!G53:G54)/2</f>
        <v>2</v>
      </c>
      <c r="J84" s="214"/>
      <c r="K84" s="214"/>
      <c r="L84" s="214"/>
      <c r="M84" s="214"/>
      <c r="N84" s="214"/>
      <c r="O84" s="214"/>
      <c r="P84" s="214"/>
    </row>
    <row r="85" spans="1:16" ht="14" x14ac:dyDescent="0.25">
      <c r="A85" s="214"/>
      <c r="B85" s="242" t="s">
        <v>299</v>
      </c>
      <c r="C85" s="256">
        <f t="shared" ref="C85:H85" si="5">SUM(C67:C84)</f>
        <v>38.75</v>
      </c>
      <c r="D85" s="241">
        <f t="shared" si="5"/>
        <v>69.75</v>
      </c>
      <c r="E85" s="241">
        <f t="shared" si="5"/>
        <v>74.75</v>
      </c>
      <c r="F85" s="241">
        <f t="shared" si="5"/>
        <v>77.75</v>
      </c>
      <c r="G85" s="241">
        <f t="shared" si="5"/>
        <v>79.75</v>
      </c>
      <c r="H85" s="241">
        <f t="shared" si="5"/>
        <v>80.75</v>
      </c>
      <c r="K85" s="214"/>
      <c r="L85" s="214"/>
      <c r="M85" s="214"/>
      <c r="N85" s="214"/>
      <c r="O85" s="214"/>
      <c r="P85" s="214"/>
    </row>
    <row r="86" spans="1:16" ht="14" x14ac:dyDescent="0.25">
      <c r="A86" s="214"/>
      <c r="B86" s="252"/>
      <c r="C86" s="255"/>
      <c r="D86" s="255"/>
      <c r="E86" s="255"/>
      <c r="F86" s="255"/>
      <c r="G86" s="255"/>
      <c r="H86" s="255"/>
      <c r="K86" s="214"/>
      <c r="L86" s="214"/>
      <c r="M86" s="214"/>
      <c r="N86" s="214"/>
      <c r="O86" s="214"/>
      <c r="P86" s="214"/>
    </row>
    <row r="87" spans="1:16" ht="14" x14ac:dyDescent="0.25">
      <c r="A87" s="214"/>
      <c r="B87" s="250" t="s">
        <v>298</v>
      </c>
      <c r="C87" s="254"/>
      <c r="D87" s="254"/>
      <c r="E87" s="254"/>
      <c r="F87" s="254"/>
      <c r="G87" s="254"/>
      <c r="H87" s="254"/>
      <c r="K87" s="214"/>
      <c r="L87" s="214"/>
      <c r="M87" s="214"/>
      <c r="N87" s="214"/>
      <c r="O87" s="214"/>
      <c r="P87" s="214"/>
    </row>
    <row r="88" spans="1:16" ht="14" x14ac:dyDescent="0.25">
      <c r="A88" s="214"/>
      <c r="B88" s="211" t="s">
        <v>295</v>
      </c>
      <c r="C88" s="249">
        <f>'5-Year DANN System'!B42/2</f>
        <v>0.5</v>
      </c>
      <c r="D88" s="248">
        <f>'5-Year DANN System'!C42/2</f>
        <v>1</v>
      </c>
      <c r="E88" s="248">
        <f>'5-Year DANN System'!D42/2</f>
        <v>1</v>
      </c>
      <c r="F88" s="248">
        <f>'5-Year DANN System'!E42/2</f>
        <v>1</v>
      </c>
      <c r="G88" s="248">
        <f>'5-Year DANN System'!F42/2</f>
        <v>1</v>
      </c>
      <c r="H88" s="248">
        <f>'5-Year DANN System'!G42/2</f>
        <v>1</v>
      </c>
      <c r="K88" s="214"/>
      <c r="L88" s="214"/>
      <c r="M88" s="214"/>
      <c r="N88" s="214"/>
      <c r="O88" s="214"/>
      <c r="P88" s="214"/>
    </row>
    <row r="89" spans="1:16" ht="14" x14ac:dyDescent="0.25">
      <c r="A89" s="214"/>
      <c r="B89" s="211" t="s">
        <v>294</v>
      </c>
      <c r="C89" s="248">
        <f>'5-Year DANN System'!B43/2</f>
        <v>0.5</v>
      </c>
      <c r="D89" s="248">
        <f>'5-Year DANN System'!C43/2</f>
        <v>1</v>
      </c>
      <c r="E89" s="248">
        <f>'5-Year DANN System'!D43/2</f>
        <v>1.5</v>
      </c>
      <c r="F89" s="248">
        <f>'5-Year DANN System'!E43/2</f>
        <v>1.5</v>
      </c>
      <c r="G89" s="248">
        <f>'5-Year DANN System'!F43/2</f>
        <v>2</v>
      </c>
      <c r="H89" s="248">
        <f>'5-Year DANN System'!G43/2</f>
        <v>2</v>
      </c>
      <c r="K89" s="214"/>
      <c r="L89" s="214"/>
      <c r="M89" s="214"/>
      <c r="N89" s="214"/>
      <c r="O89" s="214"/>
      <c r="P89" s="214"/>
    </row>
    <row r="90" spans="1:16" ht="13.25" customHeight="1" x14ac:dyDescent="0.25">
      <c r="A90" s="214"/>
      <c r="B90" s="381" t="s">
        <v>331</v>
      </c>
      <c r="C90" s="383">
        <f>'5-Year DANN System'!B46/2</f>
        <v>0.5</v>
      </c>
      <c r="D90" s="383">
        <f>'5-Year DANN System'!C46/2</f>
        <v>0.5</v>
      </c>
      <c r="E90" s="383">
        <f>'5-Year DANN System'!D46/2</f>
        <v>0.5</v>
      </c>
      <c r="F90" s="377">
        <f>'5-Year DANN System'!E46/2</f>
        <v>1</v>
      </c>
      <c r="G90" s="377">
        <f>'5-Year DANN System'!F46/2</f>
        <v>1</v>
      </c>
      <c r="H90" s="377">
        <f>'5-Year DANN System'!G46/2</f>
        <v>1</v>
      </c>
      <c r="K90" s="214"/>
      <c r="L90" s="214"/>
      <c r="M90" s="214"/>
      <c r="N90" s="214"/>
      <c r="O90" s="214"/>
      <c r="P90" s="214"/>
    </row>
    <row r="91" spans="1:16" ht="13.25" customHeight="1" x14ac:dyDescent="0.25">
      <c r="B91" s="382"/>
      <c r="C91" s="383"/>
      <c r="D91" s="383"/>
      <c r="E91" s="383"/>
      <c r="F91" s="377"/>
      <c r="G91" s="377"/>
      <c r="H91" s="377"/>
    </row>
    <row r="92" spans="1:16" ht="13.25" customHeight="1" x14ac:dyDescent="0.25">
      <c r="B92" s="381" t="s">
        <v>293</v>
      </c>
      <c r="C92" s="383">
        <f>'5-Year DANN System'!B47/2</f>
        <v>0.5</v>
      </c>
      <c r="D92" s="383">
        <f>'5-Year DANN System'!C47/2</f>
        <v>0.5</v>
      </c>
      <c r="E92" s="377">
        <f>'5-Year DANN System'!D47/2</f>
        <v>1</v>
      </c>
      <c r="F92" s="377">
        <f>'5-Year DANN System'!E47/2</f>
        <v>1</v>
      </c>
      <c r="G92" s="377">
        <f>'5-Year DANN System'!F47/2</f>
        <v>1</v>
      </c>
      <c r="H92" s="377">
        <f>'5-Year DANN System'!G47/2</f>
        <v>1</v>
      </c>
    </row>
    <row r="93" spans="1:16" ht="13.25" customHeight="1" x14ac:dyDescent="0.25">
      <c r="B93" s="382"/>
      <c r="C93" s="383"/>
      <c r="D93" s="383"/>
      <c r="E93" s="377"/>
      <c r="F93" s="377"/>
      <c r="G93" s="377"/>
      <c r="H93" s="377"/>
    </row>
    <row r="94" spans="1:16" ht="13.25" customHeight="1" x14ac:dyDescent="0.25">
      <c r="B94" s="381" t="s">
        <v>292</v>
      </c>
      <c r="C94" s="383">
        <f>('5-Year DANN System'!B56+'5-Year DANN System'!B57)/2</f>
        <v>0.5</v>
      </c>
      <c r="D94" s="383">
        <f>('5-Year DANN System'!C56+'5-Year DANN System'!C57)/2</f>
        <v>0.5</v>
      </c>
      <c r="E94" s="383">
        <f>('5-Year DANN System'!D56+'5-Year DANN System'!D57)/2</f>
        <v>0.5</v>
      </c>
      <c r="F94" s="383">
        <f>('5-Year DANN System'!E56+'5-Year DANN System'!E57)/2</f>
        <v>0.5</v>
      </c>
      <c r="G94" s="383">
        <f>('5-Year DANN System'!F56+'5-Year DANN System'!F57)/2</f>
        <v>0.5</v>
      </c>
      <c r="H94" s="383">
        <f>('5-Year DANN System'!G56+'5-Year DANN System'!G57)/2</f>
        <v>0.5</v>
      </c>
    </row>
    <row r="95" spans="1:16" ht="13.25" customHeight="1" x14ac:dyDescent="0.25">
      <c r="B95" s="382"/>
      <c r="C95" s="383"/>
      <c r="D95" s="383"/>
      <c r="E95" s="383"/>
      <c r="F95" s="383"/>
      <c r="G95" s="383"/>
      <c r="H95" s="383"/>
    </row>
    <row r="96" spans="1:16" ht="14" x14ac:dyDescent="0.25">
      <c r="B96" s="211" t="s">
        <v>291</v>
      </c>
      <c r="C96" s="248">
        <f>SUM('5-Year DANN System'!I12:I14)</f>
        <v>11</v>
      </c>
      <c r="D96" s="248">
        <f>SUM('5-Year DANN System'!J12:J14)</f>
        <v>12</v>
      </c>
      <c r="E96" s="248">
        <f>SUM('5-Year DANN System'!K12:K14)</f>
        <v>16</v>
      </c>
      <c r="F96" s="248">
        <f>SUM('5-Year DANN System'!L12:L14)</f>
        <v>20</v>
      </c>
      <c r="G96" s="248">
        <f>SUM('5-Year DANN System'!M12:M14)</f>
        <v>24</v>
      </c>
      <c r="H96" s="248">
        <f>SUM('5-Year DANN System'!N12:N14)</f>
        <v>24</v>
      </c>
    </row>
    <row r="97" spans="1:16" ht="14" x14ac:dyDescent="0.25">
      <c r="B97" s="211" t="s">
        <v>290</v>
      </c>
      <c r="C97" s="249">
        <f>(SUM('5-Year DANN System'!B31:B38)+'5-Year DANN System'!B61)/2</f>
        <v>3.25</v>
      </c>
      <c r="D97" s="362">
        <f>(SUM('5-Year DANN System'!C31:C38)+'5-Year DANN System'!C61)/2</f>
        <v>5.5</v>
      </c>
      <c r="E97" s="249">
        <v>5.5</v>
      </c>
      <c r="F97" s="249">
        <v>7</v>
      </c>
      <c r="G97" s="249">
        <v>7</v>
      </c>
      <c r="H97" s="249">
        <v>7</v>
      </c>
    </row>
    <row r="98" spans="1:16" ht="14" x14ac:dyDescent="0.25">
      <c r="B98" s="211" t="s">
        <v>289</v>
      </c>
      <c r="C98" s="362">
        <f>'5-Year DANN System'!B30/2</f>
        <v>1.5</v>
      </c>
      <c r="D98" s="362">
        <f>'5-Year DANN System'!C30/2</f>
        <v>3.75</v>
      </c>
      <c r="E98" s="362">
        <f>'5-Year DANN System'!D30/2</f>
        <v>3.75</v>
      </c>
      <c r="F98" s="362">
        <f>'5-Year DANN System'!E30/2</f>
        <v>4.25</v>
      </c>
      <c r="G98" s="362">
        <f>'5-Year DANN System'!F30/2</f>
        <v>4.75</v>
      </c>
      <c r="H98" s="362">
        <f>'5-Year DANN System'!G30/2</f>
        <v>5.25</v>
      </c>
    </row>
    <row r="99" spans="1:16" ht="14" x14ac:dyDescent="0.25">
      <c r="A99" s="214"/>
      <c r="B99" s="211" t="s">
        <v>332</v>
      </c>
      <c r="C99" s="249">
        <f>SUM('5-Year DANN System'!B44:B45)/2</f>
        <v>0.5</v>
      </c>
      <c r="D99" s="249">
        <f>SUM('5-Year DANN System'!C44:C45)/2</f>
        <v>1</v>
      </c>
      <c r="E99" s="249">
        <f>SUM('5-Year DANN System'!D44:D45)/2</f>
        <v>1</v>
      </c>
      <c r="F99" s="249">
        <f>SUM('5-Year DANN System'!E44:E45)/2</f>
        <v>1</v>
      </c>
      <c r="G99" s="249">
        <f>SUM('5-Year DANN System'!F44:F45)/2</f>
        <v>1</v>
      </c>
      <c r="H99" s="249">
        <f>SUM('5-Year DANN System'!G44:G45)/2</f>
        <v>1</v>
      </c>
      <c r="K99" s="214"/>
      <c r="L99" s="214"/>
      <c r="M99" s="214"/>
      <c r="N99" s="214"/>
      <c r="O99" s="214"/>
      <c r="P99" s="214"/>
    </row>
    <row r="100" spans="1:16" ht="14" x14ac:dyDescent="0.25">
      <c r="B100" s="211" t="s">
        <v>43</v>
      </c>
      <c r="C100" s="248">
        <v>0</v>
      </c>
      <c r="D100" s="249">
        <v>0</v>
      </c>
      <c r="E100" s="249">
        <v>0</v>
      </c>
      <c r="F100" s="249">
        <v>0</v>
      </c>
      <c r="G100" s="249">
        <v>0</v>
      </c>
      <c r="H100" s="249">
        <v>0</v>
      </c>
    </row>
    <row r="101" spans="1:16" ht="14" x14ac:dyDescent="0.25">
      <c r="B101" s="211" t="s">
        <v>288</v>
      </c>
      <c r="C101" s="248">
        <f>'5-Year DANN System'!B48/2</f>
        <v>1</v>
      </c>
      <c r="D101" s="249">
        <f>'5-Year DANN System'!C48/2</f>
        <v>1.5</v>
      </c>
      <c r="E101" s="249">
        <f>'5-Year DANN System'!D48/2</f>
        <v>1.5</v>
      </c>
      <c r="F101" s="249">
        <f>'5-Year DANN System'!E48/2</f>
        <v>1.5</v>
      </c>
      <c r="G101" s="249">
        <f>'5-Year DANN System'!F48/2</f>
        <v>1.5</v>
      </c>
      <c r="H101" s="249">
        <f>'5-Year DANN System'!G48/2</f>
        <v>1.5</v>
      </c>
    </row>
    <row r="102" spans="1:16" ht="14" x14ac:dyDescent="0.25">
      <c r="B102" s="211" t="s">
        <v>34</v>
      </c>
      <c r="C102" s="249">
        <f>'5-Year DANN System'!B49/2</f>
        <v>0.5</v>
      </c>
      <c r="D102" s="248">
        <f>'5-Year DANN System'!C49/2</f>
        <v>1</v>
      </c>
      <c r="E102" s="248">
        <f>'5-Year DANN System'!D49/2</f>
        <v>1</v>
      </c>
      <c r="F102" s="248">
        <f>'5-Year DANN System'!E49/2</f>
        <v>1</v>
      </c>
      <c r="G102" s="248">
        <f>'5-Year DANN System'!F49/2</f>
        <v>1</v>
      </c>
      <c r="H102" s="248">
        <f>'5-Year DANN System'!G49/2</f>
        <v>1</v>
      </c>
    </row>
    <row r="103" spans="1:16" ht="14" x14ac:dyDescent="0.25">
      <c r="B103" s="211" t="s">
        <v>287</v>
      </c>
      <c r="C103" s="248">
        <f>SUM('5-Year DANN System'!B50:B51)/2</f>
        <v>1</v>
      </c>
      <c r="D103" s="248">
        <f>SUM('5-Year DANN System'!C50:C51)/2</f>
        <v>2</v>
      </c>
      <c r="E103" s="248">
        <f>SUM('5-Year DANN System'!D50:D51)/2</f>
        <v>2</v>
      </c>
      <c r="F103" s="248">
        <f>SUM('5-Year DANN System'!E50:E51)/2</f>
        <v>2</v>
      </c>
      <c r="G103" s="248">
        <f>SUM('5-Year DANN System'!F50:F51)/2</f>
        <v>2</v>
      </c>
      <c r="H103" s="248">
        <f>SUM('5-Year DANN System'!G50:G51)/2</f>
        <v>2</v>
      </c>
    </row>
    <row r="104" spans="1:16" ht="14" x14ac:dyDescent="0.25">
      <c r="B104" s="211" t="s">
        <v>286</v>
      </c>
      <c r="C104" s="249">
        <f>'5-Year DANN System'!B52/2</f>
        <v>3.5</v>
      </c>
      <c r="D104" s="249">
        <f>'5-Year DANN System'!C52/2</f>
        <v>4.5</v>
      </c>
      <c r="E104" s="248">
        <f>'5-Year DANN System'!D52/2</f>
        <v>6</v>
      </c>
      <c r="F104" s="248">
        <f>'5-Year DANN System'!E52/2</f>
        <v>7</v>
      </c>
      <c r="G104" s="248">
        <f>'5-Year DANN System'!F52/2</f>
        <v>8</v>
      </c>
      <c r="H104" s="249">
        <f>'5-Year DANN System'!G52/2</f>
        <v>8.5</v>
      </c>
    </row>
    <row r="105" spans="1:16" ht="14" x14ac:dyDescent="0.25">
      <c r="B105" s="210" t="s">
        <v>285</v>
      </c>
      <c r="C105" s="248">
        <f>SUM('5-Year DANN System'!B53:B54)/2</f>
        <v>1</v>
      </c>
      <c r="D105" s="248">
        <f>SUM('5-Year DANN System'!C53:C54)/2</f>
        <v>2</v>
      </c>
      <c r="E105" s="248">
        <f>SUM('5-Year DANN System'!D53:D54)/2</f>
        <v>2</v>
      </c>
      <c r="F105" s="248">
        <f>SUM('5-Year DANN System'!E53:E54)/2</f>
        <v>2</v>
      </c>
      <c r="G105" s="248">
        <f>SUM('5-Year DANN System'!F53:F54)/2</f>
        <v>2</v>
      </c>
      <c r="H105" s="248">
        <f>SUM('5-Year DANN System'!G53:G54)/2</f>
        <v>2</v>
      </c>
    </row>
    <row r="106" spans="1:16" ht="14" x14ac:dyDescent="0.25">
      <c r="B106" s="242" t="s">
        <v>297</v>
      </c>
      <c r="C106" s="241">
        <f t="shared" ref="C106:H106" si="6">SUM(C88:C105)</f>
        <v>25.75</v>
      </c>
      <c r="D106" s="241">
        <f t="shared" si="6"/>
        <v>36.75</v>
      </c>
      <c r="E106" s="241">
        <f t="shared" si="6"/>
        <v>43.25</v>
      </c>
      <c r="F106" s="241">
        <f t="shared" si="6"/>
        <v>50.75</v>
      </c>
      <c r="G106" s="241">
        <f t="shared" si="6"/>
        <v>56.75</v>
      </c>
      <c r="H106" s="241">
        <f t="shared" si="6"/>
        <v>57.75</v>
      </c>
      <c r="I106" s="253"/>
    </row>
    <row r="107" spans="1:16" ht="14" x14ac:dyDescent="0.25">
      <c r="B107" s="252"/>
      <c r="C107" s="251"/>
      <c r="D107" s="251"/>
      <c r="E107" s="251"/>
      <c r="F107" s="251"/>
      <c r="G107" s="251"/>
      <c r="H107" s="251"/>
    </row>
    <row r="108" spans="1:16" ht="14" x14ac:dyDescent="0.25">
      <c r="B108" s="250" t="s">
        <v>296</v>
      </c>
      <c r="C108" s="250"/>
      <c r="D108" s="250"/>
      <c r="E108" s="250"/>
      <c r="F108" s="250"/>
      <c r="G108" s="250"/>
      <c r="H108" s="250"/>
    </row>
    <row r="109" spans="1:16" ht="14" x14ac:dyDescent="0.25">
      <c r="B109" s="211" t="s">
        <v>295</v>
      </c>
      <c r="C109" s="248">
        <v>0</v>
      </c>
      <c r="D109" s="249">
        <v>0</v>
      </c>
      <c r="E109" s="249">
        <v>0</v>
      </c>
      <c r="F109" s="249">
        <v>0</v>
      </c>
      <c r="G109" s="249">
        <v>0</v>
      </c>
      <c r="H109" s="249">
        <v>0</v>
      </c>
    </row>
    <row r="110" spans="1:16" ht="14" x14ac:dyDescent="0.25">
      <c r="B110" s="211" t="s">
        <v>294</v>
      </c>
      <c r="C110" s="248">
        <v>0</v>
      </c>
      <c r="D110" s="249">
        <v>0</v>
      </c>
      <c r="E110" s="249">
        <v>0</v>
      </c>
      <c r="F110" s="249">
        <v>0</v>
      </c>
      <c r="G110" s="249">
        <v>0</v>
      </c>
      <c r="H110" s="249">
        <v>0</v>
      </c>
    </row>
    <row r="111" spans="1:16" ht="13.25" customHeight="1" x14ac:dyDescent="0.25">
      <c r="B111" s="381" t="s">
        <v>331</v>
      </c>
      <c r="C111" s="377">
        <v>0</v>
      </c>
      <c r="D111" s="377">
        <v>0</v>
      </c>
      <c r="E111" s="377">
        <v>0</v>
      </c>
      <c r="F111" s="377">
        <v>0</v>
      </c>
      <c r="G111" s="377">
        <v>0</v>
      </c>
      <c r="H111" s="377">
        <v>0</v>
      </c>
    </row>
    <row r="112" spans="1:16" ht="13.25" customHeight="1" x14ac:dyDescent="0.25">
      <c r="B112" s="382"/>
      <c r="C112" s="377"/>
      <c r="D112" s="377"/>
      <c r="E112" s="377"/>
      <c r="F112" s="377"/>
      <c r="G112" s="377"/>
      <c r="H112" s="377"/>
    </row>
    <row r="113" spans="1:16" ht="13.25" customHeight="1" x14ac:dyDescent="0.25">
      <c r="B113" s="381" t="s">
        <v>293</v>
      </c>
      <c r="C113" s="377">
        <v>0</v>
      </c>
      <c r="D113" s="377">
        <v>0</v>
      </c>
      <c r="E113" s="377">
        <v>0</v>
      </c>
      <c r="F113" s="377">
        <v>0</v>
      </c>
      <c r="G113" s="377">
        <v>0</v>
      </c>
      <c r="H113" s="377">
        <v>0</v>
      </c>
    </row>
    <row r="114" spans="1:16" ht="13.25" customHeight="1" x14ac:dyDescent="0.25">
      <c r="B114" s="382"/>
      <c r="C114" s="377"/>
      <c r="D114" s="377"/>
      <c r="E114" s="377"/>
      <c r="F114" s="377"/>
      <c r="G114" s="377"/>
      <c r="H114" s="377"/>
    </row>
    <row r="115" spans="1:16" ht="13.25" customHeight="1" x14ac:dyDescent="0.25">
      <c r="B115" s="381" t="s">
        <v>292</v>
      </c>
      <c r="C115" s="383">
        <v>0</v>
      </c>
      <c r="D115" s="383">
        <v>0</v>
      </c>
      <c r="E115" s="383">
        <v>0</v>
      </c>
      <c r="F115" s="383">
        <v>0</v>
      </c>
      <c r="G115" s="383">
        <v>0</v>
      </c>
      <c r="H115" s="383">
        <v>0</v>
      </c>
    </row>
    <row r="116" spans="1:16" ht="13.25" customHeight="1" x14ac:dyDescent="0.25">
      <c r="B116" s="382"/>
      <c r="C116" s="383"/>
      <c r="D116" s="383"/>
      <c r="E116" s="383"/>
      <c r="F116" s="383"/>
      <c r="G116" s="383"/>
      <c r="H116" s="383"/>
    </row>
    <row r="117" spans="1:16" ht="14" x14ac:dyDescent="0.25">
      <c r="B117" s="211" t="s">
        <v>291</v>
      </c>
      <c r="C117" s="248">
        <v>0</v>
      </c>
      <c r="D117" s="249">
        <v>0</v>
      </c>
      <c r="E117" s="249">
        <v>0</v>
      </c>
      <c r="F117" s="249">
        <v>0</v>
      </c>
      <c r="G117" s="249">
        <v>0</v>
      </c>
      <c r="H117" s="249">
        <v>0</v>
      </c>
    </row>
    <row r="118" spans="1:16" ht="14" x14ac:dyDescent="0.25">
      <c r="B118" s="211" t="s">
        <v>290</v>
      </c>
      <c r="C118" s="248">
        <v>0</v>
      </c>
      <c r="D118" s="249">
        <v>0</v>
      </c>
      <c r="E118" s="249">
        <v>0</v>
      </c>
      <c r="F118" s="249">
        <v>0</v>
      </c>
      <c r="G118" s="249">
        <v>0</v>
      </c>
      <c r="H118" s="249">
        <v>0</v>
      </c>
    </row>
    <row r="119" spans="1:16" ht="14" x14ac:dyDescent="0.25">
      <c r="B119" s="211" t="s">
        <v>289</v>
      </c>
      <c r="C119" s="248">
        <v>0</v>
      </c>
      <c r="D119" s="249">
        <v>0</v>
      </c>
      <c r="E119" s="249">
        <v>0</v>
      </c>
      <c r="F119" s="249">
        <v>0</v>
      </c>
      <c r="G119" s="249">
        <v>0</v>
      </c>
      <c r="H119" s="249">
        <v>0</v>
      </c>
    </row>
    <row r="120" spans="1:16" ht="14" x14ac:dyDescent="0.25">
      <c r="A120" s="214"/>
      <c r="B120" s="211" t="s">
        <v>332</v>
      </c>
      <c r="C120" s="248">
        <v>0</v>
      </c>
      <c r="D120" s="249">
        <v>0</v>
      </c>
      <c r="E120" s="249">
        <v>0</v>
      </c>
      <c r="F120" s="249">
        <v>0</v>
      </c>
      <c r="G120" s="249">
        <v>0</v>
      </c>
      <c r="H120" s="249">
        <v>0</v>
      </c>
      <c r="K120" s="214"/>
      <c r="L120" s="214"/>
      <c r="M120" s="214"/>
      <c r="N120" s="214"/>
      <c r="O120" s="214"/>
      <c r="P120" s="214"/>
    </row>
    <row r="121" spans="1:16" ht="14" x14ac:dyDescent="0.25">
      <c r="B121" s="211" t="s">
        <v>43</v>
      </c>
      <c r="C121" s="248">
        <v>0</v>
      </c>
      <c r="D121" s="249">
        <v>0</v>
      </c>
      <c r="E121" s="249">
        <v>0</v>
      </c>
      <c r="F121" s="249">
        <v>0</v>
      </c>
      <c r="G121" s="249">
        <v>0</v>
      </c>
      <c r="H121" s="249">
        <v>0</v>
      </c>
    </row>
    <row r="122" spans="1:16" ht="14" x14ac:dyDescent="0.25">
      <c r="B122" s="211" t="s">
        <v>288</v>
      </c>
      <c r="C122" s="248">
        <v>0</v>
      </c>
      <c r="D122" s="249">
        <v>0</v>
      </c>
      <c r="E122" s="249">
        <v>0</v>
      </c>
      <c r="F122" s="249">
        <v>0</v>
      </c>
      <c r="G122" s="249">
        <v>0</v>
      </c>
      <c r="H122" s="249">
        <v>0</v>
      </c>
    </row>
    <row r="123" spans="1:16" ht="14" x14ac:dyDescent="0.25">
      <c r="B123" s="211" t="s">
        <v>34</v>
      </c>
      <c r="C123" s="248">
        <v>0</v>
      </c>
      <c r="D123" s="249">
        <v>0</v>
      </c>
      <c r="E123" s="249">
        <v>0</v>
      </c>
      <c r="F123" s="249">
        <v>0</v>
      </c>
      <c r="G123" s="249">
        <v>0</v>
      </c>
      <c r="H123" s="249">
        <v>0</v>
      </c>
    </row>
    <row r="124" spans="1:16" ht="14" x14ac:dyDescent="0.25">
      <c r="B124" s="211" t="s">
        <v>287</v>
      </c>
      <c r="C124" s="248">
        <v>0</v>
      </c>
      <c r="D124" s="249">
        <v>0</v>
      </c>
      <c r="E124" s="249">
        <v>0</v>
      </c>
      <c r="F124" s="249">
        <v>0</v>
      </c>
      <c r="G124" s="249">
        <v>0</v>
      </c>
      <c r="H124" s="249">
        <v>0</v>
      </c>
    </row>
    <row r="125" spans="1:16" ht="14" x14ac:dyDescent="0.25">
      <c r="B125" s="211" t="s">
        <v>286</v>
      </c>
      <c r="C125" s="248">
        <v>0</v>
      </c>
      <c r="D125" s="249">
        <v>0</v>
      </c>
      <c r="E125" s="249">
        <v>0</v>
      </c>
      <c r="F125" s="249">
        <v>0</v>
      </c>
      <c r="G125" s="249">
        <v>0</v>
      </c>
      <c r="H125" s="249">
        <v>0</v>
      </c>
    </row>
    <row r="126" spans="1:16" ht="14" x14ac:dyDescent="0.25">
      <c r="B126" s="210" t="s">
        <v>285</v>
      </c>
      <c r="C126" s="248">
        <v>0</v>
      </c>
      <c r="D126" s="249">
        <v>0</v>
      </c>
      <c r="E126" s="249">
        <v>0</v>
      </c>
      <c r="F126" s="249">
        <v>0</v>
      </c>
      <c r="G126" s="249">
        <v>0</v>
      </c>
      <c r="H126" s="249">
        <v>0</v>
      </c>
    </row>
    <row r="127" spans="1:16" ht="20.25" customHeight="1" x14ac:dyDescent="0.25">
      <c r="B127" s="247" t="s">
        <v>284</v>
      </c>
      <c r="C127" s="245">
        <f t="shared" ref="C127:H127" si="7">SUM(C109:C126)</f>
        <v>0</v>
      </c>
      <c r="D127" s="245">
        <f t="shared" si="7"/>
        <v>0</v>
      </c>
      <c r="E127" s="245">
        <f t="shared" si="7"/>
        <v>0</v>
      </c>
      <c r="F127" s="245">
        <f t="shared" si="7"/>
        <v>0</v>
      </c>
      <c r="G127" s="246">
        <f t="shared" si="7"/>
        <v>0</v>
      </c>
      <c r="H127" s="245">
        <f t="shared" si="7"/>
        <v>0</v>
      </c>
    </row>
    <row r="128" spans="1:16" ht="20.25" customHeight="1" x14ac:dyDescent="0.25">
      <c r="B128" s="244"/>
      <c r="C128" s="243"/>
      <c r="D128" s="243"/>
      <c r="E128" s="243"/>
      <c r="F128" s="243"/>
      <c r="G128" s="243"/>
      <c r="H128" s="243"/>
    </row>
    <row r="129" spans="2:10" ht="20.25" customHeight="1" x14ac:dyDescent="0.25">
      <c r="B129" s="242" t="s">
        <v>283</v>
      </c>
      <c r="C129" s="241">
        <f t="shared" ref="C129:H129" si="8">+C127+C106+C85+C64</f>
        <v>73.5</v>
      </c>
      <c r="D129" s="241">
        <f t="shared" si="8"/>
        <v>115.5</v>
      </c>
      <c r="E129" s="241">
        <f t="shared" si="8"/>
        <v>127</v>
      </c>
      <c r="F129" s="241">
        <f t="shared" si="8"/>
        <v>137.5</v>
      </c>
      <c r="G129" s="241">
        <f t="shared" si="8"/>
        <v>145.5</v>
      </c>
      <c r="H129" s="241">
        <f t="shared" si="8"/>
        <v>147.5</v>
      </c>
    </row>
    <row r="130" spans="2:10" ht="14.5" x14ac:dyDescent="0.25">
      <c r="B130" s="240"/>
      <c r="C130" s="240"/>
      <c r="D130" s="240"/>
      <c r="E130" s="240"/>
      <c r="F130" s="240"/>
      <c r="G130" s="240"/>
      <c r="H130" s="240"/>
      <c r="I130" s="240"/>
      <c r="J130" s="240"/>
    </row>
    <row r="131" spans="2:10" x14ac:dyDescent="0.25">
      <c r="B131" s="239"/>
    </row>
    <row r="132" spans="2:10" x14ac:dyDescent="0.25">
      <c r="B132" s="238"/>
    </row>
    <row r="137" spans="2:10" x14ac:dyDescent="0.25">
      <c r="C137" s="237">
        <f t="shared" ref="C137:H137" si="9">C129-C64</f>
        <v>64.5</v>
      </c>
      <c r="D137" s="237">
        <f t="shared" si="9"/>
        <v>106.5</v>
      </c>
      <c r="E137" s="237">
        <f t="shared" si="9"/>
        <v>118</v>
      </c>
      <c r="F137" s="237">
        <f t="shared" si="9"/>
        <v>128.5</v>
      </c>
      <c r="G137" s="237">
        <f t="shared" si="9"/>
        <v>136.5</v>
      </c>
      <c r="H137" s="237">
        <f t="shared" si="9"/>
        <v>138.5</v>
      </c>
    </row>
    <row r="138" spans="2:10" x14ac:dyDescent="0.25">
      <c r="C138" s="204" t="b">
        <f>C137='5-Year DANN System'!B67</f>
        <v>1</v>
      </c>
      <c r="D138" s="204" t="b">
        <f>D137='5-Year DANN System'!C67</f>
        <v>1</v>
      </c>
      <c r="E138" s="204" t="b">
        <f>E137='5-Year DANN System'!D67</f>
        <v>1</v>
      </c>
      <c r="F138" s="204" t="b">
        <f>F137='5-Year DANN System'!E67</f>
        <v>1</v>
      </c>
      <c r="G138" s="204" t="b">
        <f>G137='5-Year DANN System'!F67</f>
        <v>1</v>
      </c>
      <c r="H138" s="204" t="b">
        <f>H137='5-Year DANN System'!G67</f>
        <v>1</v>
      </c>
    </row>
  </sheetData>
  <mergeCells count="86">
    <mergeCell ref="F115:F116"/>
    <mergeCell ref="G115:G116"/>
    <mergeCell ref="H115:H116"/>
    <mergeCell ref="C111:C112"/>
    <mergeCell ref="C113:C114"/>
    <mergeCell ref="C115:C116"/>
    <mergeCell ref="F111:F112"/>
    <mergeCell ref="G111:G112"/>
    <mergeCell ref="H111:H112"/>
    <mergeCell ref="D113:D114"/>
    <mergeCell ref="E113:E114"/>
    <mergeCell ref="F113:F114"/>
    <mergeCell ref="G113:G114"/>
    <mergeCell ref="H113:H114"/>
    <mergeCell ref="D111:D112"/>
    <mergeCell ref="E111:E112"/>
    <mergeCell ref="H69:H70"/>
    <mergeCell ref="H73:H74"/>
    <mergeCell ref="H71:H72"/>
    <mergeCell ref="F69:F70"/>
    <mergeCell ref="G71:G72"/>
    <mergeCell ref="G69:G70"/>
    <mergeCell ref="F71:F72"/>
    <mergeCell ref="G94:G95"/>
    <mergeCell ref="H94:H95"/>
    <mergeCell ref="H90:H91"/>
    <mergeCell ref="G73:G74"/>
    <mergeCell ref="G90:G91"/>
    <mergeCell ref="G92:G93"/>
    <mergeCell ref="H92:H93"/>
    <mergeCell ref="D71:D72"/>
    <mergeCell ref="E71:E72"/>
    <mergeCell ref="C92:C93"/>
    <mergeCell ref="E90:E91"/>
    <mergeCell ref="F94:F95"/>
    <mergeCell ref="F92:F93"/>
    <mergeCell ref="F90:F91"/>
    <mergeCell ref="F73:F74"/>
    <mergeCell ref="D115:D116"/>
    <mergeCell ref="E115:E116"/>
    <mergeCell ref="B94:B95"/>
    <mergeCell ref="B111:B112"/>
    <mergeCell ref="B113:B114"/>
    <mergeCell ref="B115:B116"/>
    <mergeCell ref="C94:C95"/>
    <mergeCell ref="D94:D95"/>
    <mergeCell ref="E94:E95"/>
    <mergeCell ref="E69:E70"/>
    <mergeCell ref="C73:C74"/>
    <mergeCell ref="D73:D74"/>
    <mergeCell ref="E73:E74"/>
    <mergeCell ref="B92:B93"/>
    <mergeCell ref="D92:D93"/>
    <mergeCell ref="E92:E93"/>
    <mergeCell ref="B69:B70"/>
    <mergeCell ref="B71:B72"/>
    <mergeCell ref="B73:B74"/>
    <mergeCell ref="B90:B91"/>
    <mergeCell ref="C90:C91"/>
    <mergeCell ref="D90:D91"/>
    <mergeCell ref="C69:C70"/>
    <mergeCell ref="D69:D70"/>
    <mergeCell ref="C71:C72"/>
    <mergeCell ref="E33:E34"/>
    <mergeCell ref="F33:F34"/>
    <mergeCell ref="G33:G34"/>
    <mergeCell ref="D29:D30"/>
    <mergeCell ref="E29:E30"/>
    <mergeCell ref="D33:D34"/>
    <mergeCell ref="G29:G30"/>
    <mergeCell ref="C33:C34"/>
    <mergeCell ref="B26:H26"/>
    <mergeCell ref="B15:H15"/>
    <mergeCell ref="H33:H34"/>
    <mergeCell ref="H29:H30"/>
    <mergeCell ref="C31:C32"/>
    <mergeCell ref="D31:D32"/>
    <mergeCell ref="E31:E32"/>
    <mergeCell ref="F31:F32"/>
    <mergeCell ref="B29:B30"/>
    <mergeCell ref="F29:F30"/>
    <mergeCell ref="B31:B32"/>
    <mergeCell ref="B33:B34"/>
    <mergeCell ref="C29:C30"/>
    <mergeCell ref="G31:G32"/>
    <mergeCell ref="H31:H32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opLeftCell="A13" zoomScale="75" zoomScaleNormal="75" workbookViewId="0">
      <selection activeCell="A46" sqref="A46:I51"/>
    </sheetView>
  </sheetViews>
  <sheetFormatPr defaultRowHeight="14.5" x14ac:dyDescent="0.35"/>
  <cols>
    <col min="1" max="1" width="24.453125" customWidth="1"/>
    <col min="2" max="2" width="41.36328125" bestFit="1" customWidth="1"/>
    <col min="3" max="8" width="13.81640625" customWidth="1"/>
  </cols>
  <sheetData>
    <row r="2" spans="1:8" x14ac:dyDescent="0.35">
      <c r="A2" s="41" t="s">
        <v>264</v>
      </c>
    </row>
    <row r="3" spans="1:8" x14ac:dyDescent="0.35">
      <c r="B3" s="350" t="s">
        <v>357</v>
      </c>
      <c r="C3" s="350" t="str">
        <f>'5-Year DANN System'!B1</f>
        <v>FY23</v>
      </c>
      <c r="D3" s="350" t="str">
        <f>'5-Year DANN System'!C1</f>
        <v>FY24</v>
      </c>
      <c r="E3" s="350" t="str">
        <f>'5-Year DANN System'!D1</f>
        <v>FY25</v>
      </c>
      <c r="F3" s="350" t="str">
        <f>'5-Year DANN System'!E1</f>
        <v>FY26</v>
      </c>
      <c r="G3" s="350" t="str">
        <f>'5-Year DANN System'!F1</f>
        <v>FY27</v>
      </c>
      <c r="H3" s="350" t="str">
        <f>'5-Year DANN System'!G1</f>
        <v>FY28</v>
      </c>
    </row>
    <row r="4" spans="1:8" x14ac:dyDescent="0.35">
      <c r="B4" s="150" t="str">
        <f>'5-Year DANN System'!A42</f>
        <v>Principal</v>
      </c>
      <c r="C4" s="351">
        <f>'5-Year DANN System'!B42</f>
        <v>1</v>
      </c>
      <c r="D4" s="351">
        <f>'5-Year DANN System'!C42</f>
        <v>2</v>
      </c>
      <c r="E4" s="351">
        <f>'5-Year DANN System'!D42</f>
        <v>2</v>
      </c>
      <c r="F4" s="351">
        <f>'5-Year DANN System'!E42</f>
        <v>2</v>
      </c>
      <c r="G4" s="351">
        <f>'5-Year DANN System'!F42</f>
        <v>2</v>
      </c>
      <c r="H4" s="351">
        <f>'5-Year DANN System'!G42</f>
        <v>2</v>
      </c>
    </row>
    <row r="5" spans="1:8" x14ac:dyDescent="0.35">
      <c r="B5" s="150" t="str">
        <f>'5-Year DANN System'!A43</f>
        <v>Assistant Principal</v>
      </c>
      <c r="C5" s="351">
        <f>'5-Year DANN System'!B43</f>
        <v>1</v>
      </c>
      <c r="D5" s="351">
        <f>'5-Year DANN System'!C43</f>
        <v>2</v>
      </c>
      <c r="E5" s="351">
        <f>'5-Year DANN System'!D43</f>
        <v>3</v>
      </c>
      <c r="F5" s="351">
        <f>'5-Year DANN System'!E43</f>
        <v>3</v>
      </c>
      <c r="G5" s="351">
        <f>'5-Year DANN System'!F43</f>
        <v>4</v>
      </c>
      <c r="H5" s="351">
        <f>'5-Year DANN System'!G43</f>
        <v>4</v>
      </c>
    </row>
    <row r="6" spans="1:8" x14ac:dyDescent="0.35">
      <c r="B6" s="150" t="str">
        <f>'5-Year DANN System'!A45</f>
        <v>ELL Corrdinator</v>
      </c>
      <c r="C6" s="351">
        <f>'5-Year DANN System'!B45</f>
        <v>0</v>
      </c>
      <c r="D6" s="351">
        <f>'5-Year DANN System'!C45</f>
        <v>1</v>
      </c>
      <c r="E6" s="351">
        <f>'5-Year DANN System'!D45</f>
        <v>1</v>
      </c>
      <c r="F6" s="351">
        <f>'5-Year DANN System'!E45</f>
        <v>1</v>
      </c>
      <c r="G6" s="351">
        <f>'5-Year DANN System'!F45</f>
        <v>1</v>
      </c>
      <c r="H6" s="351">
        <f>'5-Year DANN System'!G45</f>
        <v>1</v>
      </c>
    </row>
    <row r="7" spans="1:8" x14ac:dyDescent="0.35">
      <c r="B7" s="150" t="s">
        <v>396</v>
      </c>
      <c r="C7" s="351">
        <f>'5-Year DANN System'!B44+'5-Year DANN System'!B46</f>
        <v>2</v>
      </c>
      <c r="D7" s="351">
        <f>'5-Year DANN System'!C44+'5-Year DANN System'!C46</f>
        <v>2</v>
      </c>
      <c r="E7" s="351">
        <f>'5-Year DANN System'!D44+'5-Year DANN System'!D46</f>
        <v>2</v>
      </c>
      <c r="F7" s="351">
        <f>'5-Year DANN System'!E44+'5-Year DANN System'!E46</f>
        <v>3</v>
      </c>
      <c r="G7" s="351">
        <f>'5-Year DANN System'!F44+'5-Year DANN System'!F46</f>
        <v>3</v>
      </c>
      <c r="H7" s="351">
        <f>'5-Year DANN System'!G44+'5-Year DANN System'!G46</f>
        <v>3</v>
      </c>
    </row>
    <row r="8" spans="1:8" x14ac:dyDescent="0.35">
      <c r="B8" s="150" t="str">
        <f>'5-Year DANN System'!A47</f>
        <v>Curriculum Coach</v>
      </c>
      <c r="C8" s="351">
        <f>'5-Year DANN System'!B47</f>
        <v>1</v>
      </c>
      <c r="D8" s="351">
        <f>'5-Year DANN System'!C47</f>
        <v>1</v>
      </c>
      <c r="E8" s="351">
        <f>'5-Year DANN System'!D47</f>
        <v>2</v>
      </c>
      <c r="F8" s="351">
        <f>'5-Year DANN System'!E47</f>
        <v>2</v>
      </c>
      <c r="G8" s="351">
        <f>'5-Year DANN System'!F47</f>
        <v>2</v>
      </c>
      <c r="H8" s="351">
        <f>'5-Year DANN System'!G47</f>
        <v>2</v>
      </c>
    </row>
    <row r="9" spans="1:8" x14ac:dyDescent="0.35">
      <c r="B9" s="150" t="s">
        <v>356</v>
      </c>
      <c r="C9" s="351">
        <f>'5-Year DANN System'!B29</f>
        <v>35</v>
      </c>
      <c r="D9" s="351">
        <f>'5-Year DANN System'!C29</f>
        <v>57</v>
      </c>
      <c r="E9" s="351">
        <f>'5-Year DANN System'!D29</f>
        <v>63</v>
      </c>
      <c r="F9" s="351">
        <f>'5-Year DANN System'!E29</f>
        <v>68</v>
      </c>
      <c r="G9" s="351">
        <f>'5-Year DANN System'!F29</f>
        <v>72</v>
      </c>
      <c r="H9" s="351">
        <f>'5-Year DANN System'!G29</f>
        <v>72</v>
      </c>
    </row>
    <row r="10" spans="1:8" x14ac:dyDescent="0.35">
      <c r="B10" s="150" t="s">
        <v>290</v>
      </c>
      <c r="C10" s="351">
        <f>SUM('5-Year DANN System'!B31:B38)+'5-Year DANN System'!B61</f>
        <v>6.5</v>
      </c>
      <c r="D10" s="351">
        <f>SUM('5-Year DANN System'!C31:C38)+'5-Year DANN System'!C61</f>
        <v>11</v>
      </c>
      <c r="E10" s="351">
        <f>SUM('5-Year DANN System'!D31:D38)+'5-Year DANN System'!D61</f>
        <v>11.5</v>
      </c>
      <c r="F10" s="351">
        <f>SUM('5-Year DANN System'!E31:E38)+'5-Year DANN System'!E61</f>
        <v>13</v>
      </c>
      <c r="G10" s="351">
        <f>SUM('5-Year DANN System'!F31:F38)+'5-Year DANN System'!F61</f>
        <v>13</v>
      </c>
      <c r="H10" s="351">
        <f>SUM('5-Year DANN System'!G31:G38)+'5-Year DANN System'!G61</f>
        <v>13</v>
      </c>
    </row>
    <row r="11" spans="1:8" x14ac:dyDescent="0.35">
      <c r="B11" s="150" t="s">
        <v>289</v>
      </c>
      <c r="C11" s="351">
        <f>'5-Year DANN System'!B30</f>
        <v>3</v>
      </c>
      <c r="D11" s="351">
        <f>'5-Year DANN System'!C30</f>
        <v>7.5</v>
      </c>
      <c r="E11" s="351">
        <f>'5-Year DANN System'!D30</f>
        <v>7.5</v>
      </c>
      <c r="F11" s="351">
        <f>'5-Year DANN System'!E30</f>
        <v>8.5</v>
      </c>
      <c r="G11" s="351">
        <f>'5-Year DANN System'!F30</f>
        <v>9.5</v>
      </c>
      <c r="H11" s="351">
        <f>'5-Year DANN System'!G30</f>
        <v>10.5</v>
      </c>
    </row>
    <row r="12" spans="1:8" x14ac:dyDescent="0.35">
      <c r="B12" s="150" t="s">
        <v>400</v>
      </c>
      <c r="C12" s="351">
        <f>'5-Year DANN System'!B57</f>
        <v>1</v>
      </c>
      <c r="D12" s="351">
        <f>'5-Year DANN System'!C57</f>
        <v>1</v>
      </c>
      <c r="E12" s="351">
        <f>'5-Year DANN System'!D57</f>
        <v>1</v>
      </c>
      <c r="F12" s="351">
        <f>'5-Year DANN System'!E57</f>
        <v>1</v>
      </c>
      <c r="G12" s="351">
        <f>'5-Year DANN System'!F57</f>
        <v>1</v>
      </c>
      <c r="H12" s="351">
        <f>'5-Year DANN System'!G57</f>
        <v>1</v>
      </c>
    </row>
    <row r="13" spans="1:8" x14ac:dyDescent="0.35">
      <c r="B13" s="150" t="str">
        <f>'5-Year DANN System'!A48</f>
        <v>Office Manager/Banker</v>
      </c>
      <c r="C13" s="351">
        <f>'5-Year DANN System'!B48</f>
        <v>2</v>
      </c>
      <c r="D13" s="351">
        <f>'5-Year DANN System'!C48</f>
        <v>3</v>
      </c>
      <c r="E13" s="351">
        <f>'5-Year DANN System'!D48</f>
        <v>3</v>
      </c>
      <c r="F13" s="351">
        <f>'5-Year DANN System'!E48</f>
        <v>3</v>
      </c>
      <c r="G13" s="351">
        <f>'5-Year DANN System'!F48</f>
        <v>3</v>
      </c>
      <c r="H13" s="351">
        <f>'5-Year DANN System'!G48</f>
        <v>3</v>
      </c>
    </row>
    <row r="14" spans="1:8" x14ac:dyDescent="0.35">
      <c r="B14" s="150" t="str">
        <f>'5-Year DANN System'!A49</f>
        <v>Registrar</v>
      </c>
      <c r="C14" s="351">
        <f>'5-Year DANN System'!B49</f>
        <v>1</v>
      </c>
      <c r="D14" s="351">
        <f>'5-Year DANN System'!C49</f>
        <v>2</v>
      </c>
      <c r="E14" s="351">
        <f>'5-Year DANN System'!D49</f>
        <v>2</v>
      </c>
      <c r="F14" s="351">
        <f>'5-Year DANN System'!E49</f>
        <v>2</v>
      </c>
      <c r="G14" s="351">
        <f>'5-Year DANN System'!F49</f>
        <v>2</v>
      </c>
      <c r="H14" s="351">
        <f>'5-Year DANN System'!G49</f>
        <v>2</v>
      </c>
    </row>
    <row r="15" spans="1:8" x14ac:dyDescent="0.35">
      <c r="B15" s="150" t="s">
        <v>397</v>
      </c>
      <c r="C15" s="351">
        <f>'5-Year DANN System'!B50+'5-Year DANN System'!B51</f>
        <v>2</v>
      </c>
      <c r="D15" s="351">
        <f>'5-Year DANN System'!C50+'5-Year DANN System'!C51</f>
        <v>4</v>
      </c>
      <c r="E15" s="351">
        <f>'5-Year DANN System'!D50+'5-Year DANN System'!D51</f>
        <v>4</v>
      </c>
      <c r="F15" s="351">
        <f>'5-Year DANN System'!E50+'5-Year DANN System'!E51</f>
        <v>4</v>
      </c>
      <c r="G15" s="351">
        <f>'5-Year DANN System'!F50+'5-Year DANN System'!F51</f>
        <v>4</v>
      </c>
      <c r="H15" s="351">
        <f>'5-Year DANN System'!G50+'5-Year DANN System'!G51</f>
        <v>4</v>
      </c>
    </row>
    <row r="16" spans="1:8" x14ac:dyDescent="0.35">
      <c r="B16" s="150" t="str">
        <f>'5-Year DANN System'!A52</f>
        <v>Teacher Assistants (SPED Included)</v>
      </c>
      <c r="C16" s="351">
        <f>'5-Year DANN System'!B52</f>
        <v>7</v>
      </c>
      <c r="D16" s="351">
        <f>'5-Year DANN System'!C52</f>
        <v>9</v>
      </c>
      <c r="E16" s="351">
        <f>'5-Year DANN System'!D52</f>
        <v>12</v>
      </c>
      <c r="F16" s="351">
        <f>'5-Year DANN System'!E52</f>
        <v>14</v>
      </c>
      <c r="G16" s="351">
        <f>'5-Year DANN System'!F52</f>
        <v>16</v>
      </c>
      <c r="H16" s="351">
        <f>'5-Year DANN System'!G52</f>
        <v>17</v>
      </c>
    </row>
    <row r="17" spans="1:8" x14ac:dyDescent="0.35">
      <c r="B17" s="150" t="str">
        <f>'5-Year DANN System'!A53</f>
        <v>Campus Monitor/Custodian</v>
      </c>
      <c r="C17" s="351">
        <f>'5-Year DANN System'!B53</f>
        <v>1</v>
      </c>
      <c r="D17" s="351">
        <f>'5-Year DANN System'!C53</f>
        <v>2</v>
      </c>
      <c r="E17" s="351">
        <f>'5-Year DANN System'!D53</f>
        <v>2</v>
      </c>
      <c r="F17" s="351">
        <f>'5-Year DANN System'!E53</f>
        <v>2</v>
      </c>
      <c r="G17" s="351">
        <f>'5-Year DANN System'!F53</f>
        <v>2</v>
      </c>
      <c r="H17" s="351">
        <f>'5-Year DANN System'!G53</f>
        <v>2</v>
      </c>
    </row>
    <row r="18" spans="1:8" x14ac:dyDescent="0.35">
      <c r="B18" s="150" t="str">
        <f>'5-Year DANN System'!A54</f>
        <v>Cafeteria Manager</v>
      </c>
      <c r="C18" s="351">
        <f>'5-Year DANN System'!B54</f>
        <v>1</v>
      </c>
      <c r="D18" s="351">
        <f>'5-Year DANN System'!C54</f>
        <v>2</v>
      </c>
      <c r="E18" s="351">
        <f>'5-Year DANN System'!D54</f>
        <v>2</v>
      </c>
      <c r="F18" s="351">
        <f>'5-Year DANN System'!E54</f>
        <v>2</v>
      </c>
      <c r="G18" s="351">
        <f>'5-Year DANN System'!F54</f>
        <v>2</v>
      </c>
      <c r="H18" s="351">
        <f>'5-Year DANN System'!G54</f>
        <v>2</v>
      </c>
    </row>
    <row r="19" spans="1:8" x14ac:dyDescent="0.35">
      <c r="B19" s="352" t="s">
        <v>355</v>
      </c>
      <c r="C19" s="353">
        <f>SUM(C4:C18)</f>
        <v>64.5</v>
      </c>
      <c r="D19" s="353">
        <f t="shared" ref="D19:H19" si="0">SUM(D4:D18)</f>
        <v>106.5</v>
      </c>
      <c r="E19" s="353">
        <f t="shared" si="0"/>
        <v>118</v>
      </c>
      <c r="F19" s="353">
        <f t="shared" si="0"/>
        <v>128.5</v>
      </c>
      <c r="G19" s="353">
        <f t="shared" si="0"/>
        <v>136.5</v>
      </c>
      <c r="H19" s="353">
        <f t="shared" si="0"/>
        <v>138.5</v>
      </c>
    </row>
    <row r="20" spans="1:8" x14ac:dyDescent="0.35">
      <c r="B20" s="352" t="s">
        <v>398</v>
      </c>
      <c r="C20" s="9">
        <f>'5-Year DANN System'!B130</f>
        <v>2829507.8840000001</v>
      </c>
      <c r="D20" s="9">
        <f>'5-Year DANN System'!C130</f>
        <v>4755248.7185920002</v>
      </c>
      <c r="E20" s="9">
        <f>'5-Year DANN System'!D130</f>
        <v>5281825.6529638395</v>
      </c>
      <c r="F20" s="9">
        <f>'5-Year DANN System'!E130</f>
        <v>5809835.5401654728</v>
      </c>
      <c r="G20" s="9">
        <f>'5-Year DANN System'!F130</f>
        <v>6257876.645758125</v>
      </c>
      <c r="H20" s="9">
        <f>'5-Year DANN System'!G130</f>
        <v>6427532.50669898</v>
      </c>
    </row>
    <row r="22" spans="1:8" x14ac:dyDescent="0.35">
      <c r="C22" t="b">
        <f>C19='5-Year DANN System'!B67</f>
        <v>1</v>
      </c>
      <c r="D22" t="b">
        <f>D19='5-Year DANN System'!C67</f>
        <v>1</v>
      </c>
      <c r="E22" t="b">
        <f>E19='5-Year DANN System'!D67</f>
        <v>1</v>
      </c>
      <c r="F22" t="b">
        <f>F19='5-Year DANN System'!E67</f>
        <v>1</v>
      </c>
      <c r="G22" t="b">
        <f>G19='5-Year DANN System'!F67</f>
        <v>1</v>
      </c>
      <c r="H22" t="b">
        <f>H19='5-Year DANN System'!G67</f>
        <v>1</v>
      </c>
    </row>
    <row r="24" spans="1:8" x14ac:dyDescent="0.35">
      <c r="A24" s="41" t="s">
        <v>399</v>
      </c>
    </row>
    <row r="25" spans="1:8" x14ac:dyDescent="0.35">
      <c r="B25" s="350" t="s">
        <v>357</v>
      </c>
      <c r="C25" s="350" t="str">
        <f>'5-Year New Campus'!B1</f>
        <v>FY23</v>
      </c>
      <c r="D25" s="350" t="str">
        <f>'5-Year New Campus'!C1</f>
        <v>FY24</v>
      </c>
      <c r="E25" s="350" t="str">
        <f>'5-Year New Campus'!D1</f>
        <v>FY25</v>
      </c>
      <c r="F25" s="350" t="str">
        <f>'5-Year New Campus'!E1</f>
        <v>FY26</v>
      </c>
      <c r="G25" s="350" t="str">
        <f>'5-Year New Campus'!F1</f>
        <v>FY27</v>
      </c>
      <c r="H25" s="350" t="str">
        <f>'5-Year New Campus'!G1</f>
        <v>FY28</v>
      </c>
    </row>
    <row r="26" spans="1:8" x14ac:dyDescent="0.35">
      <c r="B26" s="150" t="s">
        <v>30</v>
      </c>
      <c r="C26" s="351">
        <f>'5-Year New Campus'!B42</f>
        <v>0</v>
      </c>
      <c r="D26" s="351">
        <f>'5-Year New Campus'!C42</f>
        <v>1</v>
      </c>
      <c r="E26" s="351">
        <f>'5-Year New Campus'!D42</f>
        <v>1</v>
      </c>
      <c r="F26" s="351">
        <f>'5-Year New Campus'!E42</f>
        <v>1</v>
      </c>
      <c r="G26" s="351">
        <f>'5-Year New Campus'!F42</f>
        <v>1</v>
      </c>
      <c r="H26" s="351">
        <f>'5-Year New Campus'!G42</f>
        <v>1</v>
      </c>
    </row>
    <row r="27" spans="1:8" x14ac:dyDescent="0.35">
      <c r="B27" s="150" t="s">
        <v>31</v>
      </c>
      <c r="C27" s="351">
        <f>'5-Year New Campus'!B43</f>
        <v>0</v>
      </c>
      <c r="D27" s="351">
        <f>'5-Year New Campus'!C43</f>
        <v>0</v>
      </c>
      <c r="E27" s="351">
        <f>'5-Year New Campus'!D43</f>
        <v>1</v>
      </c>
      <c r="F27" s="351">
        <f>'5-Year New Campus'!E43</f>
        <v>1</v>
      </c>
      <c r="G27" s="351">
        <f>'5-Year New Campus'!F43</f>
        <v>2</v>
      </c>
      <c r="H27" s="351">
        <f>'5-Year New Campus'!G43</f>
        <v>2</v>
      </c>
    </row>
    <row r="28" spans="1:8" x14ac:dyDescent="0.35">
      <c r="B28" s="150" t="s">
        <v>252</v>
      </c>
      <c r="C28" s="351">
        <f>'5-Year New Campus'!B45</f>
        <v>0</v>
      </c>
      <c r="D28" s="351">
        <f>'5-Year New Campus'!C45</f>
        <v>1</v>
      </c>
      <c r="E28" s="351">
        <f>'5-Year New Campus'!D45</f>
        <v>1</v>
      </c>
      <c r="F28" s="351">
        <f>'5-Year New Campus'!E45</f>
        <v>1</v>
      </c>
      <c r="G28" s="351">
        <f>'5-Year New Campus'!F45</f>
        <v>1</v>
      </c>
      <c r="H28" s="351">
        <f>'5-Year New Campus'!G45</f>
        <v>1</v>
      </c>
    </row>
    <row r="29" spans="1:8" x14ac:dyDescent="0.35">
      <c r="B29" s="150" t="s">
        <v>396</v>
      </c>
      <c r="C29" s="351">
        <f>'5-Year New Campus'!B44+'5-Year New Campus'!B46</f>
        <v>0</v>
      </c>
      <c r="D29" s="351">
        <f>'5-Year New Campus'!C44+'5-Year New Campus'!C46</f>
        <v>0</v>
      </c>
      <c r="E29" s="351">
        <f>'5-Year New Campus'!D44+'5-Year New Campus'!D46</f>
        <v>0</v>
      </c>
      <c r="F29" s="351">
        <f>'5-Year New Campus'!E44+'5-Year New Campus'!E46</f>
        <v>1</v>
      </c>
      <c r="G29" s="351">
        <f>'5-Year New Campus'!F44+'5-Year New Campus'!F46</f>
        <v>1</v>
      </c>
      <c r="H29" s="351">
        <f>'5-Year New Campus'!G44+'5-Year New Campus'!G46</f>
        <v>1</v>
      </c>
    </row>
    <row r="30" spans="1:8" x14ac:dyDescent="0.35">
      <c r="B30" s="150" t="s">
        <v>33</v>
      </c>
      <c r="C30" s="351">
        <f>'5-Year New Campus'!B47</f>
        <v>0</v>
      </c>
      <c r="D30" s="351">
        <f>'5-Year New Campus'!C47</f>
        <v>0</v>
      </c>
      <c r="E30" s="351">
        <f>'5-Year New Campus'!D47</f>
        <v>1</v>
      </c>
      <c r="F30" s="351">
        <f>'5-Year New Campus'!E47</f>
        <v>1</v>
      </c>
      <c r="G30" s="351">
        <f>'5-Year New Campus'!F47</f>
        <v>1</v>
      </c>
      <c r="H30" s="351">
        <f>'5-Year New Campus'!G47</f>
        <v>1</v>
      </c>
    </row>
    <row r="31" spans="1:8" x14ac:dyDescent="0.35">
      <c r="B31" s="150" t="s">
        <v>356</v>
      </c>
      <c r="C31" s="351">
        <f>'5-Year New Campus'!B29</f>
        <v>0</v>
      </c>
      <c r="D31" s="351">
        <f>'5-Year New Campus'!C29</f>
        <v>21</v>
      </c>
      <c r="E31" s="351">
        <f>'5-Year New Campus'!D29</f>
        <v>27</v>
      </c>
      <c r="F31" s="351">
        <f>'5-Year New Campus'!E29</f>
        <v>32</v>
      </c>
      <c r="G31" s="351">
        <f>'5-Year New Campus'!F29</f>
        <v>36</v>
      </c>
      <c r="H31" s="351">
        <f>'5-Year New Campus'!G29</f>
        <v>36</v>
      </c>
    </row>
    <row r="32" spans="1:8" x14ac:dyDescent="0.35">
      <c r="B32" s="150" t="s">
        <v>290</v>
      </c>
      <c r="C32" s="351">
        <f>SUM('5-Year New Campus'!B31:B38)+'5-Year New Campus'!B61</f>
        <v>0</v>
      </c>
      <c r="D32" s="351">
        <f>SUM('5-Year New Campus'!C31:C38)+'5-Year New Campus'!C61</f>
        <v>4</v>
      </c>
      <c r="E32" s="351">
        <f>SUM('5-Year New Campus'!D31:D38)+'5-Year New Campus'!D61</f>
        <v>4.5</v>
      </c>
      <c r="F32" s="351">
        <f>SUM('5-Year New Campus'!E31:E38)+'5-Year New Campus'!E61</f>
        <v>6</v>
      </c>
      <c r="G32" s="351">
        <f>SUM('5-Year New Campus'!F31:F38)+'5-Year New Campus'!F61</f>
        <v>6</v>
      </c>
      <c r="H32" s="351">
        <f>SUM('5-Year New Campus'!G31:G38)+'5-Year New Campus'!G61</f>
        <v>6</v>
      </c>
    </row>
    <row r="33" spans="2:8" x14ac:dyDescent="0.35">
      <c r="B33" s="150" t="s">
        <v>289</v>
      </c>
      <c r="C33" s="351">
        <f>'5-Year New Campus'!B30</f>
        <v>0</v>
      </c>
      <c r="D33" s="351">
        <f>'5-Year New Campus'!C30</f>
        <v>4</v>
      </c>
      <c r="E33" s="351">
        <f>'5-Year New Campus'!D30</f>
        <v>4</v>
      </c>
      <c r="F33" s="351">
        <f>'5-Year New Campus'!E30</f>
        <v>5</v>
      </c>
      <c r="G33" s="351">
        <f>'5-Year New Campus'!F30</f>
        <v>6</v>
      </c>
      <c r="H33" s="351">
        <f>'5-Year New Campus'!G30</f>
        <v>7</v>
      </c>
    </row>
    <row r="34" spans="2:8" x14ac:dyDescent="0.35">
      <c r="B34" s="150" t="s">
        <v>400</v>
      </c>
      <c r="C34" s="351">
        <f>'5-Year New Campus'!B57</f>
        <v>0</v>
      </c>
      <c r="D34" s="351">
        <f>'5-Year New Campus'!C57</f>
        <v>0</v>
      </c>
      <c r="E34" s="351">
        <f>'5-Year New Campus'!D57</f>
        <v>0</v>
      </c>
      <c r="F34" s="351">
        <f>'5-Year New Campus'!E57</f>
        <v>0</v>
      </c>
      <c r="G34" s="351">
        <f>'5-Year New Campus'!F57</f>
        <v>0</v>
      </c>
      <c r="H34" s="351">
        <f>'5-Year New Campus'!G57</f>
        <v>0</v>
      </c>
    </row>
    <row r="35" spans="2:8" x14ac:dyDescent="0.35">
      <c r="B35" s="150" t="s">
        <v>230</v>
      </c>
      <c r="C35" s="351">
        <f>'5-Year New Campus'!B48</f>
        <v>0</v>
      </c>
      <c r="D35" s="351">
        <f>'5-Year New Campus'!C48</f>
        <v>1</v>
      </c>
      <c r="E35" s="351">
        <f>'5-Year New Campus'!D48</f>
        <v>1</v>
      </c>
      <c r="F35" s="351">
        <f>'5-Year New Campus'!E48</f>
        <v>1</v>
      </c>
      <c r="G35" s="351">
        <f>'5-Year New Campus'!F48</f>
        <v>1</v>
      </c>
      <c r="H35" s="351">
        <f>'5-Year New Campus'!G48</f>
        <v>1</v>
      </c>
    </row>
    <row r="36" spans="2:8" x14ac:dyDescent="0.35">
      <c r="B36" s="150" t="s">
        <v>34</v>
      </c>
      <c r="C36" s="351">
        <f>'5-Year New Campus'!B49</f>
        <v>0</v>
      </c>
      <c r="D36" s="351">
        <f>'5-Year New Campus'!C49</f>
        <v>1</v>
      </c>
      <c r="E36" s="351">
        <f>'5-Year New Campus'!D49</f>
        <v>1</v>
      </c>
      <c r="F36" s="351">
        <f>'5-Year New Campus'!E49</f>
        <v>1</v>
      </c>
      <c r="G36" s="351">
        <f>'5-Year New Campus'!F49</f>
        <v>1</v>
      </c>
      <c r="H36" s="351">
        <f>'5-Year New Campus'!G49</f>
        <v>1</v>
      </c>
    </row>
    <row r="37" spans="2:8" x14ac:dyDescent="0.35">
      <c r="B37" s="150" t="s">
        <v>397</v>
      </c>
      <c r="C37" s="351">
        <f>'5-Year New Campus'!B50+'5-Year New Campus'!B51</f>
        <v>0</v>
      </c>
      <c r="D37" s="351">
        <f>'5-Year New Campus'!C50+'5-Year New Campus'!C51</f>
        <v>2</v>
      </c>
      <c r="E37" s="351">
        <f>'5-Year New Campus'!D50+'5-Year New Campus'!D51</f>
        <v>2</v>
      </c>
      <c r="F37" s="351">
        <f>'5-Year New Campus'!E50+'5-Year New Campus'!E51</f>
        <v>2</v>
      </c>
      <c r="G37" s="351">
        <f>'5-Year New Campus'!F50+'5-Year New Campus'!F51</f>
        <v>2</v>
      </c>
      <c r="H37" s="351">
        <f>'5-Year New Campus'!G50+'5-Year New Campus'!G51</f>
        <v>2</v>
      </c>
    </row>
    <row r="38" spans="2:8" x14ac:dyDescent="0.35">
      <c r="B38" s="150" t="s">
        <v>206</v>
      </c>
      <c r="C38" s="351">
        <f>'5-Year New Campus'!B52</f>
        <v>0</v>
      </c>
      <c r="D38" s="351">
        <f>'5-Year New Campus'!C52</f>
        <v>2</v>
      </c>
      <c r="E38" s="351">
        <f>'5-Year New Campus'!D52</f>
        <v>5</v>
      </c>
      <c r="F38" s="351">
        <f>'5-Year New Campus'!E52</f>
        <v>7</v>
      </c>
      <c r="G38" s="351">
        <f>'5-Year New Campus'!F52</f>
        <v>9</v>
      </c>
      <c r="H38" s="351">
        <f>'5-Year New Campus'!G52</f>
        <v>10</v>
      </c>
    </row>
    <row r="39" spans="2:8" x14ac:dyDescent="0.35">
      <c r="B39" s="150" t="s">
        <v>37</v>
      </c>
      <c r="C39" s="351">
        <f>'5-Year New Campus'!B53</f>
        <v>0</v>
      </c>
      <c r="D39" s="351">
        <f>'5-Year New Campus'!C53</f>
        <v>1</v>
      </c>
      <c r="E39" s="351">
        <f>'5-Year New Campus'!D53</f>
        <v>1</v>
      </c>
      <c r="F39" s="351">
        <f>'5-Year New Campus'!E53</f>
        <v>1</v>
      </c>
      <c r="G39" s="351">
        <f>'5-Year New Campus'!F53</f>
        <v>1</v>
      </c>
      <c r="H39" s="351">
        <f>'5-Year New Campus'!G53</f>
        <v>1</v>
      </c>
    </row>
    <row r="40" spans="2:8" x14ac:dyDescent="0.35">
      <c r="B40" s="150" t="s">
        <v>38</v>
      </c>
      <c r="C40" s="351">
        <f>'5-Year New Campus'!B54</f>
        <v>0</v>
      </c>
      <c r="D40" s="351">
        <f>'5-Year New Campus'!C54</f>
        <v>1</v>
      </c>
      <c r="E40" s="351">
        <f>'5-Year New Campus'!D54</f>
        <v>1</v>
      </c>
      <c r="F40" s="351">
        <f>'5-Year New Campus'!E54</f>
        <v>1</v>
      </c>
      <c r="G40" s="351">
        <f>'5-Year New Campus'!F54</f>
        <v>1</v>
      </c>
      <c r="H40" s="351">
        <f>'5-Year New Campus'!G54</f>
        <v>1</v>
      </c>
    </row>
    <row r="41" spans="2:8" x14ac:dyDescent="0.35">
      <c r="B41" s="352" t="s">
        <v>355</v>
      </c>
      <c r="C41" s="353">
        <f>SUM(C26:C40)</f>
        <v>0</v>
      </c>
      <c r="D41" s="353">
        <f t="shared" ref="D41" si="1">SUM(D26:D40)</f>
        <v>39</v>
      </c>
      <c r="E41" s="353">
        <f t="shared" ref="E41" si="2">SUM(E26:E40)</f>
        <v>50.5</v>
      </c>
      <c r="F41" s="353">
        <f t="shared" ref="F41" si="3">SUM(F26:F40)</f>
        <v>61</v>
      </c>
      <c r="G41" s="353">
        <f t="shared" ref="G41" si="4">SUM(G26:G40)</f>
        <v>69</v>
      </c>
      <c r="H41" s="353">
        <f t="shared" ref="H41" si="5">SUM(H26:H40)</f>
        <v>71</v>
      </c>
    </row>
    <row r="42" spans="2:8" x14ac:dyDescent="0.35">
      <c r="B42" s="352" t="s">
        <v>398</v>
      </c>
      <c r="C42" s="9">
        <f>'5-Year New Campus'!B130</f>
        <v>0</v>
      </c>
      <c r="D42" s="9">
        <f>'5-Year New Campus'!C130</f>
        <v>1696124.4696</v>
      </c>
      <c r="E42" s="9">
        <f>'5-Year New Campus'!D130</f>
        <v>2159562.9189919997</v>
      </c>
      <c r="F42" s="9">
        <f>'5-Year New Campus'!E130</f>
        <v>2629017.8531519994</v>
      </c>
      <c r="G42" s="9">
        <f>'5-Year New Campus'!F130</f>
        <v>3017486.7788134757</v>
      </c>
      <c r="H42" s="9">
        <f>'5-Year New Campus'!G130</f>
        <v>3128351.7089840514</v>
      </c>
    </row>
    <row r="44" spans="2:8" x14ac:dyDescent="0.35">
      <c r="C44" t="b">
        <f>C41='5-Year New Campus'!B67</f>
        <v>1</v>
      </c>
      <c r="D44" t="b">
        <f>D41='5-Year New Campus'!C67</f>
        <v>1</v>
      </c>
      <c r="E44" t="b">
        <f>E41='5-Year New Campus'!D67</f>
        <v>1</v>
      </c>
      <c r="F44" t="b">
        <f>F41='5-Year New Campus'!E67</f>
        <v>1</v>
      </c>
      <c r="G44" t="b">
        <f>G41='5-Year New Campus'!F67</f>
        <v>1</v>
      </c>
      <c r="H44" t="b">
        <f>H41='5-Year New Campus'!G67</f>
        <v>1</v>
      </c>
    </row>
    <row r="47" spans="2:8" s="5" customFormat="1" x14ac:dyDescent="0.35">
      <c r="C47" s="350" t="str">
        <f>'5-Year DANN System'!B1</f>
        <v>FY23</v>
      </c>
      <c r="D47" s="350" t="str">
        <f>'5-Year DANN System'!C1</f>
        <v>FY24</v>
      </c>
      <c r="E47" s="350" t="str">
        <f>'5-Year DANN System'!D1</f>
        <v>FY25</v>
      </c>
      <c r="F47" s="350" t="str">
        <f>'5-Year DANN System'!E1</f>
        <v>FY26</v>
      </c>
      <c r="G47" s="350" t="str">
        <f>'5-Year DANN System'!F1</f>
        <v>FY27</v>
      </c>
      <c r="H47" s="350" t="str">
        <f>'5-Year DANN System'!G1</f>
        <v>FY28</v>
      </c>
    </row>
    <row r="48" spans="2:8" s="5" customFormat="1" x14ac:dyDescent="0.35">
      <c r="B48" s="354" t="s">
        <v>401</v>
      </c>
      <c r="C48" s="355">
        <f>C20</f>
        <v>2829507.8840000001</v>
      </c>
      <c r="D48" s="355">
        <f t="shared" ref="D48:H48" si="6">D20</f>
        <v>4755248.7185920002</v>
      </c>
      <c r="E48" s="355">
        <f t="shared" si="6"/>
        <v>5281825.6529638395</v>
      </c>
      <c r="F48" s="355">
        <f t="shared" si="6"/>
        <v>5809835.5401654728</v>
      </c>
      <c r="G48" s="355">
        <f t="shared" si="6"/>
        <v>6257876.645758125</v>
      </c>
      <c r="H48" s="355">
        <f t="shared" si="6"/>
        <v>6427532.50669898</v>
      </c>
    </row>
    <row r="49" spans="2:8" s="5" customFormat="1" x14ac:dyDescent="0.35">
      <c r="B49" s="354" t="s">
        <v>402</v>
      </c>
      <c r="C49" s="356">
        <f>SUM('5-Year DANN System'!B131:B132)/'5-Year DANN System'!B130</f>
        <v>0.47925440214818632</v>
      </c>
      <c r="D49" s="356">
        <f>SUM('5-Year DANN System'!C131:C132)/'5-Year DANN System'!C130</f>
        <v>0.48249999999999982</v>
      </c>
      <c r="E49" s="356">
        <f>SUM('5-Year DANN System'!D131:D132)/'5-Year DANN System'!D130</f>
        <v>0.48500000000000004</v>
      </c>
      <c r="F49" s="356">
        <f>SUM('5-Year DANN System'!E131:E132)/'5-Year DANN System'!E130</f>
        <v>0.48750000000000004</v>
      </c>
      <c r="G49" s="356">
        <f>SUM('5-Year DANN System'!F131:F132)/'5-Year DANN System'!F130</f>
        <v>0.49</v>
      </c>
      <c r="H49" s="356">
        <f>SUM('5-Year DANN System'!G131:G132)/'5-Year DANN System'!G130</f>
        <v>0.49249999999999999</v>
      </c>
    </row>
    <row r="50" spans="2:8" s="5" customFormat="1" x14ac:dyDescent="0.35">
      <c r="B50" s="352" t="s">
        <v>403</v>
      </c>
      <c r="C50" s="357">
        <f>C48*C49</f>
        <v>1356054.1093199998</v>
      </c>
      <c r="D50" s="357">
        <f t="shared" ref="D50:H50" si="7">D48*D49</f>
        <v>2294407.5067206393</v>
      </c>
      <c r="E50" s="357">
        <f t="shared" si="7"/>
        <v>2561685.4416874624</v>
      </c>
      <c r="F50" s="357">
        <f t="shared" si="7"/>
        <v>2832294.8258306682</v>
      </c>
      <c r="G50" s="357">
        <f t="shared" si="7"/>
        <v>3066359.5564214811</v>
      </c>
      <c r="H50" s="357">
        <f t="shared" si="7"/>
        <v>3165559.7595492476</v>
      </c>
    </row>
    <row r="51" spans="2:8" s="5" customFormat="1" x14ac:dyDescent="0.35"/>
    <row r="52" spans="2:8" s="5" customFormat="1" x14ac:dyDescent="0.35"/>
    <row r="53" spans="2:8" s="5" customFormat="1" x14ac:dyDescent="0.35">
      <c r="C53" s="5" t="b">
        <f>C50=SUM('5-Year DANN System'!B131:B132)</f>
        <v>1</v>
      </c>
      <c r="D53" s="5" t="b">
        <f>D50=SUM('5-Year DANN System'!C131:C132)</f>
        <v>1</v>
      </c>
      <c r="E53" s="5" t="b">
        <f>E50=SUM('5-Year DANN System'!D131:D132)</f>
        <v>1</v>
      </c>
      <c r="F53" s="5" t="b">
        <f>F50=SUM('5-Year DANN System'!E131:E132)</f>
        <v>1</v>
      </c>
      <c r="G53" s="5" t="b">
        <f>G50=SUM('5-Year DANN System'!F131:F132)</f>
        <v>1</v>
      </c>
      <c r="H53" s="5" t="b">
        <f>H50=SUM('5-Year DANN System'!G131:G132)</f>
        <v>1</v>
      </c>
    </row>
    <row r="54" spans="2:8" s="5" customFormat="1" x14ac:dyDescent="0.35"/>
    <row r="55" spans="2:8" s="5" customFormat="1" x14ac:dyDescent="0.3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opLeftCell="A61" zoomScale="75" zoomScaleNormal="75" workbookViewId="0">
      <selection activeCell="K108" sqref="K108"/>
    </sheetView>
  </sheetViews>
  <sheetFormatPr defaultRowHeight="14.5" x14ac:dyDescent="0.35"/>
  <cols>
    <col min="1" max="1" width="48.6328125" customWidth="1"/>
    <col min="2" max="2" width="15.81640625" style="109" bestFit="1" customWidth="1"/>
    <col min="3" max="3" width="13.81640625" style="109" customWidth="1"/>
    <col min="4" max="4" width="19" style="109" customWidth="1"/>
    <col min="5" max="16" width="13.81640625" style="109" customWidth="1"/>
  </cols>
  <sheetData>
    <row r="1" spans="1:16" x14ac:dyDescent="0.35">
      <c r="A1" s="174" t="str">
        <f>'5-Year New Campus'!A1</f>
        <v>DANN New Facility</v>
      </c>
      <c r="B1" s="174" t="str">
        <f>'5-Year New Campus'!C1</f>
        <v>FY24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thickBot="1" x14ac:dyDescent="0.4">
      <c r="A2" s="349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x14ac:dyDescent="0.35">
      <c r="A3" s="334" t="s">
        <v>393</v>
      </c>
      <c r="B3" s="333" t="s">
        <v>385</v>
      </c>
      <c r="C3" s="347" t="s">
        <v>384</v>
      </c>
      <c r="D3" s="332" t="s">
        <v>197</v>
      </c>
      <c r="E3" s="347" t="s">
        <v>383</v>
      </c>
      <c r="F3" s="346" t="s">
        <v>382</v>
      </c>
      <c r="G3" s="346" t="s">
        <v>381</v>
      </c>
      <c r="H3" s="346" t="s">
        <v>380</v>
      </c>
      <c r="I3" s="346" t="s">
        <v>379</v>
      </c>
      <c r="J3" s="346" t="s">
        <v>378</v>
      </c>
      <c r="K3" s="346" t="s">
        <v>377</v>
      </c>
      <c r="L3" s="346" t="s">
        <v>376</v>
      </c>
      <c r="M3" s="346" t="s">
        <v>375</v>
      </c>
      <c r="N3" s="346" t="s">
        <v>374</v>
      </c>
      <c r="O3" s="346" t="s">
        <v>373</v>
      </c>
      <c r="P3" s="345" t="s">
        <v>372</v>
      </c>
    </row>
    <row r="4" spans="1:16" x14ac:dyDescent="0.35">
      <c r="A4" s="344" t="s">
        <v>392</v>
      </c>
      <c r="B4" s="314">
        <f>'5-Year New Campus'!C75</f>
        <v>3924960</v>
      </c>
      <c r="C4" s="319">
        <f>D4-B4</f>
        <v>0</v>
      </c>
      <c r="D4" s="318">
        <f t="shared" ref="D4:D16" si="0">SUM(E4:P4)</f>
        <v>3924960</v>
      </c>
      <c r="E4" s="317">
        <f>B4/12</f>
        <v>327080</v>
      </c>
      <c r="F4" s="62">
        <f t="shared" ref="F4:P4" si="1">E4</f>
        <v>327080</v>
      </c>
      <c r="G4" s="62">
        <f t="shared" si="1"/>
        <v>327080</v>
      </c>
      <c r="H4" s="62">
        <f t="shared" si="1"/>
        <v>327080</v>
      </c>
      <c r="I4" s="62">
        <f t="shared" si="1"/>
        <v>327080</v>
      </c>
      <c r="J4" s="62">
        <f t="shared" si="1"/>
        <v>327080</v>
      </c>
      <c r="K4" s="62">
        <f t="shared" si="1"/>
        <v>327080</v>
      </c>
      <c r="L4" s="62">
        <f t="shared" si="1"/>
        <v>327080</v>
      </c>
      <c r="M4" s="62">
        <f t="shared" si="1"/>
        <v>327080</v>
      </c>
      <c r="N4" s="62">
        <f t="shared" si="1"/>
        <v>327080</v>
      </c>
      <c r="O4" s="62">
        <f t="shared" si="1"/>
        <v>327080</v>
      </c>
      <c r="P4" s="316">
        <f t="shared" si="1"/>
        <v>327080</v>
      </c>
    </row>
    <row r="5" spans="1:16" x14ac:dyDescent="0.35">
      <c r="A5" s="343" t="s">
        <v>53</v>
      </c>
      <c r="B5" s="314">
        <f>'5-Year New Campus'!C77</f>
        <v>188496.00000000006</v>
      </c>
      <c r="C5" s="319">
        <f>D5-B5</f>
        <v>0</v>
      </c>
      <c r="D5" s="318">
        <f t="shared" si="0"/>
        <v>188496.00000000006</v>
      </c>
      <c r="E5" s="317"/>
      <c r="F5" s="62"/>
      <c r="G5" s="62">
        <f>B5/10</f>
        <v>18849.600000000006</v>
      </c>
      <c r="H5" s="62">
        <f>B5/10</f>
        <v>18849.600000000006</v>
      </c>
      <c r="I5" s="62">
        <f>B5/10</f>
        <v>18849.600000000006</v>
      </c>
      <c r="J5" s="62">
        <f>B5/10</f>
        <v>18849.600000000006</v>
      </c>
      <c r="K5" s="62">
        <f>B5/10</f>
        <v>18849.600000000006</v>
      </c>
      <c r="L5" s="62">
        <f>B5/10</f>
        <v>18849.600000000006</v>
      </c>
      <c r="M5" s="62">
        <f>B5/10</f>
        <v>18849.600000000006</v>
      </c>
      <c r="N5" s="62">
        <f>B5/10</f>
        <v>18849.600000000006</v>
      </c>
      <c r="O5" s="62">
        <f>B5/10</f>
        <v>18849.600000000006</v>
      </c>
      <c r="P5" s="316">
        <f>B5/10</f>
        <v>18849.600000000006</v>
      </c>
    </row>
    <row r="6" spans="1:16" x14ac:dyDescent="0.35">
      <c r="A6" s="343" t="s">
        <v>54</v>
      </c>
      <c r="B6" s="314">
        <f>'5-Year New Campus'!C78</f>
        <v>87856</v>
      </c>
      <c r="C6" s="319">
        <f>D6-B6</f>
        <v>0</v>
      </c>
      <c r="D6" s="318">
        <f t="shared" si="0"/>
        <v>87856</v>
      </c>
      <c r="E6" s="317"/>
      <c r="F6" s="62"/>
      <c r="G6" s="62"/>
      <c r="H6" s="62"/>
      <c r="I6" s="62"/>
      <c r="J6" s="62"/>
      <c r="K6" s="62"/>
      <c r="L6" s="62">
        <f>B6</f>
        <v>87856</v>
      </c>
      <c r="M6" s="62"/>
      <c r="N6" s="62"/>
      <c r="O6" s="62"/>
      <c r="P6" s="316"/>
    </row>
    <row r="7" spans="1:16" x14ac:dyDescent="0.35">
      <c r="A7" s="287" t="s">
        <v>212</v>
      </c>
      <c r="B7" s="314">
        <f>'5-Year New Campus'!C79</f>
        <v>0</v>
      </c>
      <c r="C7" s="319">
        <f>D7-B7</f>
        <v>0</v>
      </c>
      <c r="D7" s="318">
        <f t="shared" si="0"/>
        <v>0</v>
      </c>
      <c r="E7" s="317"/>
      <c r="F7" s="322"/>
      <c r="G7" s="62"/>
      <c r="H7" s="62"/>
      <c r="I7" s="62"/>
      <c r="J7" s="62"/>
      <c r="K7" s="62"/>
      <c r="L7" s="62">
        <v>0</v>
      </c>
      <c r="M7" s="62"/>
      <c r="N7" s="62"/>
      <c r="O7" s="62"/>
      <c r="P7" s="316"/>
    </row>
    <row r="8" spans="1:16" x14ac:dyDescent="0.35">
      <c r="A8" s="287" t="s">
        <v>391</v>
      </c>
      <c r="B8" s="314">
        <f>'5-Year New Campus'!C80</f>
        <v>0</v>
      </c>
      <c r="C8" s="319"/>
      <c r="D8" s="318">
        <f t="shared" si="0"/>
        <v>0</v>
      </c>
      <c r="E8" s="317"/>
      <c r="F8" s="322"/>
      <c r="G8" s="62"/>
      <c r="H8" s="62"/>
      <c r="I8" s="62"/>
      <c r="J8" s="62"/>
      <c r="K8" s="62"/>
      <c r="L8" s="62">
        <f>B8*0.75</f>
        <v>0</v>
      </c>
      <c r="M8" s="62"/>
      <c r="N8" s="62"/>
      <c r="O8" s="62">
        <f>B8*0.25</f>
        <v>0</v>
      </c>
      <c r="P8" s="316"/>
    </row>
    <row r="9" spans="1:16" x14ac:dyDescent="0.35">
      <c r="A9" s="287" t="s">
        <v>390</v>
      </c>
      <c r="B9" s="314">
        <f>'5-Year New Campus'!C81</f>
        <v>0</v>
      </c>
      <c r="C9" s="319"/>
      <c r="D9" s="318">
        <f t="shared" si="0"/>
        <v>0</v>
      </c>
      <c r="E9" s="317"/>
      <c r="F9" s="322"/>
      <c r="G9" s="62"/>
      <c r="H9" s="62"/>
      <c r="I9" s="62"/>
      <c r="J9" s="62"/>
      <c r="K9" s="62"/>
      <c r="L9" s="62">
        <f>B9*0.75</f>
        <v>0</v>
      </c>
      <c r="M9" s="62"/>
      <c r="N9" s="62"/>
      <c r="O9" s="62">
        <f>B9*0.25</f>
        <v>0</v>
      </c>
      <c r="P9" s="316"/>
    </row>
    <row r="10" spans="1:16" x14ac:dyDescent="0.35">
      <c r="A10" s="343" t="s">
        <v>389</v>
      </c>
      <c r="B10" s="314">
        <f>'5-Year New Campus'!C82</f>
        <v>0</v>
      </c>
      <c r="C10" s="319"/>
      <c r="D10" s="318">
        <f t="shared" si="0"/>
        <v>0</v>
      </c>
      <c r="E10" s="317"/>
      <c r="F10" s="322"/>
      <c r="G10" s="62"/>
      <c r="H10" s="62"/>
      <c r="I10" s="62"/>
      <c r="J10" s="62"/>
      <c r="K10" s="62"/>
      <c r="L10" s="62"/>
      <c r="M10" s="62"/>
      <c r="N10" s="62"/>
      <c r="O10" s="62"/>
      <c r="P10" s="316"/>
    </row>
    <row r="11" spans="1:16" x14ac:dyDescent="0.35">
      <c r="A11" s="343" t="s">
        <v>214</v>
      </c>
      <c r="B11" s="314">
        <f>'5-Year New Campus'!C83</f>
        <v>0</v>
      </c>
      <c r="C11" s="319">
        <f>D11-B11</f>
        <v>0</v>
      </c>
      <c r="D11" s="318">
        <f t="shared" si="0"/>
        <v>0</v>
      </c>
      <c r="E11" s="3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316"/>
    </row>
    <row r="12" spans="1:16" x14ac:dyDescent="0.35">
      <c r="A12" s="343" t="s">
        <v>215</v>
      </c>
      <c r="B12" s="314">
        <f>'5-Year New Campus'!C84</f>
        <v>0</v>
      </c>
      <c r="C12" s="319"/>
      <c r="D12" s="318">
        <f t="shared" si="0"/>
        <v>0</v>
      </c>
      <c r="E12" s="317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316"/>
    </row>
    <row r="13" spans="1:16" x14ac:dyDescent="0.35">
      <c r="A13" s="287" t="s">
        <v>388</v>
      </c>
      <c r="B13" s="314">
        <f>'5-Year New Campus'!C85</f>
        <v>0</v>
      </c>
      <c r="C13" s="319">
        <f>D13-B13</f>
        <v>0</v>
      </c>
      <c r="D13" s="318">
        <f t="shared" si="0"/>
        <v>0</v>
      </c>
      <c r="E13" s="317"/>
      <c r="F13" s="62"/>
      <c r="G13" s="62"/>
      <c r="H13" s="62">
        <f>B13/9</f>
        <v>0</v>
      </c>
      <c r="I13" s="62">
        <f t="shared" ref="I13:P13" si="2">H13</f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316">
        <f t="shared" si="2"/>
        <v>0</v>
      </c>
    </row>
    <row r="14" spans="1:16" x14ac:dyDescent="0.35">
      <c r="A14" s="335" t="s">
        <v>387</v>
      </c>
      <c r="B14" s="314">
        <f>'5-Year New Campus'!C86</f>
        <v>0</v>
      </c>
      <c r="C14" s="319">
        <f>D14-B14</f>
        <v>0</v>
      </c>
      <c r="D14" s="318">
        <f t="shared" si="0"/>
        <v>0</v>
      </c>
      <c r="E14" s="317"/>
      <c r="F14" s="62">
        <f>B14/2</f>
        <v>0</v>
      </c>
      <c r="G14" s="62"/>
      <c r="H14" s="62"/>
      <c r="I14" s="62"/>
      <c r="J14" s="62"/>
      <c r="K14" s="62">
        <f>F14</f>
        <v>0</v>
      </c>
      <c r="L14" s="62"/>
      <c r="M14" s="62">
        <f>J14</f>
        <v>0</v>
      </c>
      <c r="N14" s="62"/>
      <c r="O14" s="62"/>
      <c r="P14" s="316">
        <f>M14</f>
        <v>0</v>
      </c>
    </row>
    <row r="15" spans="1:16" x14ac:dyDescent="0.35">
      <c r="A15" s="335" t="s">
        <v>386</v>
      </c>
      <c r="B15" s="314">
        <v>0</v>
      </c>
      <c r="C15" s="342"/>
      <c r="D15" s="318">
        <f t="shared" si="0"/>
        <v>0</v>
      </c>
      <c r="E15" s="311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310"/>
    </row>
    <row r="16" spans="1:16" ht="15" thickBot="1" x14ac:dyDescent="0.4">
      <c r="A16" s="341" t="s">
        <v>57</v>
      </c>
      <c r="B16" s="340">
        <f>SUM(B4:B14)</f>
        <v>4201312</v>
      </c>
      <c r="C16" s="338">
        <f>SUM(C4:C14)</f>
        <v>0</v>
      </c>
      <c r="D16" s="339">
        <f t="shared" si="0"/>
        <v>4201312</v>
      </c>
      <c r="E16" s="338">
        <f t="shared" ref="E16:P16" si="3">SUM(E4:E14)</f>
        <v>327080</v>
      </c>
      <c r="F16" s="337">
        <f t="shared" si="3"/>
        <v>327080</v>
      </c>
      <c r="G16" s="337">
        <f t="shared" si="3"/>
        <v>345929.6</v>
      </c>
      <c r="H16" s="337">
        <f t="shared" si="3"/>
        <v>345929.6</v>
      </c>
      <c r="I16" s="337">
        <f t="shared" si="3"/>
        <v>345929.6</v>
      </c>
      <c r="J16" s="337">
        <f t="shared" si="3"/>
        <v>345929.6</v>
      </c>
      <c r="K16" s="337">
        <f t="shared" si="3"/>
        <v>345929.6</v>
      </c>
      <c r="L16" s="337">
        <f t="shared" si="3"/>
        <v>433785.59999999998</v>
      </c>
      <c r="M16" s="337">
        <f t="shared" si="3"/>
        <v>345929.6</v>
      </c>
      <c r="N16" s="337">
        <f t="shared" si="3"/>
        <v>345929.6</v>
      </c>
      <c r="O16" s="337">
        <f t="shared" si="3"/>
        <v>345929.6</v>
      </c>
      <c r="P16" s="336">
        <f t="shared" si="3"/>
        <v>345929.6</v>
      </c>
    </row>
    <row r="17" spans="1:16" x14ac:dyDescent="0.35">
      <c r="A17" s="335"/>
      <c r="B17" s="314"/>
      <c r="C17" s="317"/>
      <c r="D17" s="318"/>
      <c r="E17" s="317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316"/>
    </row>
    <row r="18" spans="1:16" x14ac:dyDescent="0.35">
      <c r="A18" s="334" t="s">
        <v>59</v>
      </c>
      <c r="B18" s="333" t="s">
        <v>385</v>
      </c>
      <c r="C18" s="331" t="s">
        <v>384</v>
      </c>
      <c r="D18" s="332" t="s">
        <v>197</v>
      </c>
      <c r="E18" s="331" t="s">
        <v>383</v>
      </c>
      <c r="F18" s="330" t="s">
        <v>382</v>
      </c>
      <c r="G18" s="330" t="s">
        <v>381</v>
      </c>
      <c r="H18" s="330" t="s">
        <v>380</v>
      </c>
      <c r="I18" s="330" t="s">
        <v>379</v>
      </c>
      <c r="J18" s="330" t="s">
        <v>378</v>
      </c>
      <c r="K18" s="330" t="s">
        <v>377</v>
      </c>
      <c r="L18" s="330" t="s">
        <v>376</v>
      </c>
      <c r="M18" s="330" t="s">
        <v>375</v>
      </c>
      <c r="N18" s="330" t="s">
        <v>374</v>
      </c>
      <c r="O18" s="330" t="s">
        <v>373</v>
      </c>
      <c r="P18" s="329" t="s">
        <v>372</v>
      </c>
    </row>
    <row r="19" spans="1:16" x14ac:dyDescent="0.35">
      <c r="A19" s="321" t="s">
        <v>30</v>
      </c>
      <c r="B19" s="314">
        <f>'5-Year New Campus'!C104</f>
        <v>100000</v>
      </c>
      <c r="C19" s="319">
        <f>D19-B19</f>
        <v>0</v>
      </c>
      <c r="D19" s="318">
        <f t="shared" ref="D19:D50" si="4">SUM(E19:P19)</f>
        <v>99999.999999999985</v>
      </c>
      <c r="E19" s="317">
        <f>B19/12</f>
        <v>8333.3333333333339</v>
      </c>
      <c r="F19" s="62">
        <f t="shared" ref="F19:P19" si="5">E19</f>
        <v>8333.3333333333339</v>
      </c>
      <c r="G19" s="62">
        <f t="shared" si="5"/>
        <v>8333.3333333333339</v>
      </c>
      <c r="H19" s="62">
        <f t="shared" si="5"/>
        <v>8333.3333333333339</v>
      </c>
      <c r="I19" s="62">
        <f t="shared" si="5"/>
        <v>8333.3333333333339</v>
      </c>
      <c r="J19" s="62">
        <f t="shared" si="5"/>
        <v>8333.3333333333339</v>
      </c>
      <c r="K19" s="62">
        <f t="shared" si="5"/>
        <v>8333.3333333333339</v>
      </c>
      <c r="L19" s="62">
        <f t="shared" si="5"/>
        <v>8333.3333333333339</v>
      </c>
      <c r="M19" s="62">
        <f t="shared" si="5"/>
        <v>8333.3333333333339</v>
      </c>
      <c r="N19" s="62">
        <f t="shared" si="5"/>
        <v>8333.3333333333339</v>
      </c>
      <c r="O19" s="62">
        <f t="shared" si="5"/>
        <v>8333.3333333333339</v>
      </c>
      <c r="P19" s="316">
        <f t="shared" si="5"/>
        <v>8333.3333333333339</v>
      </c>
    </row>
    <row r="20" spans="1:16" x14ac:dyDescent="0.35">
      <c r="A20" s="321" t="s">
        <v>61</v>
      </c>
      <c r="B20" s="314">
        <f>'5-Year New Campus'!C105</f>
        <v>0</v>
      </c>
      <c r="C20" s="319">
        <f>D20-B20</f>
        <v>0</v>
      </c>
      <c r="D20" s="318">
        <f t="shared" si="4"/>
        <v>0</v>
      </c>
      <c r="E20" s="317">
        <f>B20/12</f>
        <v>0</v>
      </c>
      <c r="F20" s="62">
        <f t="shared" ref="F20:P20" si="6">E20</f>
        <v>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6"/>
        <v>0</v>
      </c>
      <c r="K20" s="62">
        <f t="shared" si="6"/>
        <v>0</v>
      </c>
      <c r="L20" s="62">
        <f t="shared" si="6"/>
        <v>0</v>
      </c>
      <c r="M20" s="62">
        <f t="shared" si="6"/>
        <v>0</v>
      </c>
      <c r="N20" s="62">
        <f t="shared" si="6"/>
        <v>0</v>
      </c>
      <c r="O20" s="62">
        <f t="shared" si="6"/>
        <v>0</v>
      </c>
      <c r="P20" s="316">
        <f t="shared" si="6"/>
        <v>0</v>
      </c>
    </row>
    <row r="21" spans="1:16" x14ac:dyDescent="0.35">
      <c r="A21" s="321" t="s">
        <v>33</v>
      </c>
      <c r="B21" s="314">
        <f>'5-Year New Campus'!C106</f>
        <v>0</v>
      </c>
      <c r="C21" s="319">
        <f>D21-B21</f>
        <v>0</v>
      </c>
      <c r="D21" s="318">
        <f t="shared" si="4"/>
        <v>0</v>
      </c>
      <c r="E21" s="317"/>
      <c r="F21" s="62">
        <f t="shared" ref="F21:P21" si="7">E21</f>
        <v>0</v>
      </c>
      <c r="G21" s="62">
        <f t="shared" si="7"/>
        <v>0</v>
      </c>
      <c r="H21" s="62">
        <f t="shared" si="7"/>
        <v>0</v>
      </c>
      <c r="I21" s="62">
        <f t="shared" si="7"/>
        <v>0</v>
      </c>
      <c r="J21" s="62">
        <f t="shared" si="7"/>
        <v>0</v>
      </c>
      <c r="K21" s="62">
        <f t="shared" si="7"/>
        <v>0</v>
      </c>
      <c r="L21" s="62">
        <f t="shared" si="7"/>
        <v>0</v>
      </c>
      <c r="M21" s="62">
        <f t="shared" si="7"/>
        <v>0</v>
      </c>
      <c r="N21" s="62">
        <f t="shared" si="7"/>
        <v>0</v>
      </c>
      <c r="O21" s="62">
        <f t="shared" si="7"/>
        <v>0</v>
      </c>
      <c r="P21" s="316">
        <f t="shared" si="7"/>
        <v>0</v>
      </c>
    </row>
    <row r="22" spans="1:16" x14ac:dyDescent="0.35">
      <c r="A22" s="321" t="s">
        <v>252</v>
      </c>
      <c r="B22" s="314">
        <f>'5-Year New Campus'!C107</f>
        <v>55000</v>
      </c>
      <c r="C22" s="319"/>
      <c r="D22" s="318">
        <f t="shared" si="4"/>
        <v>55000</v>
      </c>
      <c r="E22" s="317">
        <v>0</v>
      </c>
      <c r="F22" s="62">
        <f>B22/11</f>
        <v>5000</v>
      </c>
      <c r="G22" s="62">
        <f t="shared" ref="G22:P22" si="8">F22</f>
        <v>5000</v>
      </c>
      <c r="H22" s="62">
        <f t="shared" si="8"/>
        <v>5000</v>
      </c>
      <c r="I22" s="62">
        <f t="shared" si="8"/>
        <v>5000</v>
      </c>
      <c r="J22" s="62">
        <f t="shared" si="8"/>
        <v>5000</v>
      </c>
      <c r="K22" s="62">
        <f t="shared" si="8"/>
        <v>5000</v>
      </c>
      <c r="L22" s="62">
        <f t="shared" si="8"/>
        <v>5000</v>
      </c>
      <c r="M22" s="62">
        <f t="shared" si="8"/>
        <v>5000</v>
      </c>
      <c r="N22" s="62">
        <f t="shared" si="8"/>
        <v>5000</v>
      </c>
      <c r="O22" s="62">
        <f t="shared" si="8"/>
        <v>5000</v>
      </c>
      <c r="P22" s="316">
        <f t="shared" si="8"/>
        <v>5000</v>
      </c>
    </row>
    <row r="23" spans="1:16" x14ac:dyDescent="0.35">
      <c r="A23" s="321" t="s">
        <v>63</v>
      </c>
      <c r="B23" s="314">
        <f>'5-Year New Campus'!C108</f>
        <v>0</v>
      </c>
      <c r="C23" s="319">
        <f t="shared" ref="C23:C57" si="9">D23-B23</f>
        <v>0</v>
      </c>
      <c r="D23" s="318">
        <f t="shared" si="4"/>
        <v>0</v>
      </c>
      <c r="E23" s="317"/>
      <c r="F23" s="328">
        <f>B23/11</f>
        <v>0</v>
      </c>
      <c r="G23" s="62">
        <f t="shared" ref="G23:P23" si="10">F23</f>
        <v>0</v>
      </c>
      <c r="H23" s="62">
        <f t="shared" si="10"/>
        <v>0</v>
      </c>
      <c r="I23" s="62">
        <f t="shared" si="10"/>
        <v>0</v>
      </c>
      <c r="J23" s="62">
        <f t="shared" si="10"/>
        <v>0</v>
      </c>
      <c r="K23" s="62">
        <f t="shared" si="10"/>
        <v>0</v>
      </c>
      <c r="L23" s="62">
        <f t="shared" si="10"/>
        <v>0</v>
      </c>
      <c r="M23" s="62">
        <f t="shared" si="10"/>
        <v>0</v>
      </c>
      <c r="N23" s="62">
        <f t="shared" si="10"/>
        <v>0</v>
      </c>
      <c r="O23" s="62">
        <f t="shared" si="10"/>
        <v>0</v>
      </c>
      <c r="P23" s="316">
        <f t="shared" si="10"/>
        <v>0</v>
      </c>
    </row>
    <row r="24" spans="1:16" x14ac:dyDescent="0.35">
      <c r="A24" s="321" t="s">
        <v>64</v>
      </c>
      <c r="B24" s="314">
        <f>'5-Year New Campus'!C109</f>
        <v>1080450</v>
      </c>
      <c r="C24" s="326">
        <f t="shared" si="9"/>
        <v>-90037.5</v>
      </c>
      <c r="D24" s="318">
        <f t="shared" si="4"/>
        <v>990412.5</v>
      </c>
      <c r="E24" s="317">
        <v>0</v>
      </c>
      <c r="F24" s="62">
        <f>B24/12</f>
        <v>90037.5</v>
      </c>
      <c r="G24" s="62">
        <f t="shared" ref="G24:P24" si="11">F24</f>
        <v>90037.5</v>
      </c>
      <c r="H24" s="62">
        <f t="shared" si="11"/>
        <v>90037.5</v>
      </c>
      <c r="I24" s="62">
        <f t="shared" si="11"/>
        <v>90037.5</v>
      </c>
      <c r="J24" s="62">
        <f t="shared" si="11"/>
        <v>90037.5</v>
      </c>
      <c r="K24" s="62">
        <f t="shared" si="11"/>
        <v>90037.5</v>
      </c>
      <c r="L24" s="62">
        <f t="shared" si="11"/>
        <v>90037.5</v>
      </c>
      <c r="M24" s="62">
        <f t="shared" si="11"/>
        <v>90037.5</v>
      </c>
      <c r="N24" s="62">
        <f t="shared" si="11"/>
        <v>90037.5</v>
      </c>
      <c r="O24" s="62">
        <f t="shared" si="11"/>
        <v>90037.5</v>
      </c>
      <c r="P24" s="316">
        <f t="shared" si="11"/>
        <v>90037.5</v>
      </c>
    </row>
    <row r="25" spans="1:16" x14ac:dyDescent="0.35">
      <c r="A25" s="321" t="s">
        <v>19</v>
      </c>
      <c r="B25" s="314">
        <f>'5-Year New Campus'!C111</f>
        <v>176400</v>
      </c>
      <c r="C25" s="326">
        <f t="shared" si="9"/>
        <v>-14700</v>
      </c>
      <c r="D25" s="318">
        <f t="shared" si="4"/>
        <v>161700</v>
      </c>
      <c r="E25" s="317">
        <v>0</v>
      </c>
      <c r="F25" s="62">
        <f>B25/12</f>
        <v>14700</v>
      </c>
      <c r="G25" s="62">
        <f t="shared" ref="G25:P25" si="12">F25</f>
        <v>14700</v>
      </c>
      <c r="H25" s="62">
        <f t="shared" si="12"/>
        <v>14700</v>
      </c>
      <c r="I25" s="62">
        <f t="shared" si="12"/>
        <v>14700</v>
      </c>
      <c r="J25" s="62">
        <f t="shared" si="12"/>
        <v>14700</v>
      </c>
      <c r="K25" s="62">
        <f t="shared" si="12"/>
        <v>14700</v>
      </c>
      <c r="L25" s="62">
        <f t="shared" si="12"/>
        <v>14700</v>
      </c>
      <c r="M25" s="62">
        <f t="shared" si="12"/>
        <v>14700</v>
      </c>
      <c r="N25" s="62">
        <f t="shared" si="12"/>
        <v>14700</v>
      </c>
      <c r="O25" s="62">
        <f t="shared" si="12"/>
        <v>14700</v>
      </c>
      <c r="P25" s="316">
        <f t="shared" si="12"/>
        <v>14700</v>
      </c>
    </row>
    <row r="26" spans="1:16" x14ac:dyDescent="0.35">
      <c r="A26" s="321" t="s">
        <v>67</v>
      </c>
      <c r="B26" s="314">
        <f>'5-Year New Campus'!C112</f>
        <v>87684.469599999982</v>
      </c>
      <c r="C26" s="319">
        <f t="shared" si="9"/>
        <v>0</v>
      </c>
      <c r="D26" s="318">
        <f t="shared" si="4"/>
        <v>87684.469600000011</v>
      </c>
      <c r="E26" s="317">
        <f>B26/12</f>
        <v>7307.0391333333318</v>
      </c>
      <c r="F26" s="62">
        <f>E26</f>
        <v>7307.0391333333318</v>
      </c>
      <c r="G26" s="62">
        <f t="shared" ref="G26:P26" si="13">F26</f>
        <v>7307.0391333333318</v>
      </c>
      <c r="H26" s="62">
        <f t="shared" si="13"/>
        <v>7307.0391333333318</v>
      </c>
      <c r="I26" s="62">
        <f t="shared" si="13"/>
        <v>7307.0391333333318</v>
      </c>
      <c r="J26" s="62">
        <f t="shared" si="13"/>
        <v>7307.0391333333318</v>
      </c>
      <c r="K26" s="62">
        <f t="shared" si="13"/>
        <v>7307.0391333333318</v>
      </c>
      <c r="L26" s="62">
        <f t="shared" si="13"/>
        <v>7307.0391333333318</v>
      </c>
      <c r="M26" s="62">
        <f t="shared" si="13"/>
        <v>7307.0391333333318</v>
      </c>
      <c r="N26" s="62">
        <f t="shared" si="13"/>
        <v>7307.0391333333318</v>
      </c>
      <c r="O26" s="62">
        <f t="shared" si="13"/>
        <v>7307.0391333333318</v>
      </c>
      <c r="P26" s="316">
        <f t="shared" si="13"/>
        <v>7307.0391333333318</v>
      </c>
    </row>
    <row r="27" spans="1:16" x14ac:dyDescent="0.35">
      <c r="A27" s="321" t="s">
        <v>68</v>
      </c>
      <c r="B27" s="314">
        <f>'5-Year New Campus'!C113</f>
        <v>42560</v>
      </c>
      <c r="C27" s="319">
        <f t="shared" si="9"/>
        <v>0</v>
      </c>
      <c r="D27" s="318">
        <f t="shared" si="4"/>
        <v>42560</v>
      </c>
      <c r="E27" s="317">
        <v>0</v>
      </c>
      <c r="F27" s="62">
        <f>B27/11</f>
        <v>3869.090909090909</v>
      </c>
      <c r="G27" s="62">
        <f t="shared" ref="G27:P27" si="14">F27</f>
        <v>3869.090909090909</v>
      </c>
      <c r="H27" s="62">
        <f t="shared" si="14"/>
        <v>3869.090909090909</v>
      </c>
      <c r="I27" s="62">
        <f t="shared" si="14"/>
        <v>3869.090909090909</v>
      </c>
      <c r="J27" s="62">
        <f t="shared" si="14"/>
        <v>3869.090909090909</v>
      </c>
      <c r="K27" s="62">
        <f t="shared" si="14"/>
        <v>3869.090909090909</v>
      </c>
      <c r="L27" s="62">
        <f t="shared" si="14"/>
        <v>3869.090909090909</v>
      </c>
      <c r="M27" s="62">
        <f t="shared" si="14"/>
        <v>3869.090909090909</v>
      </c>
      <c r="N27" s="62">
        <f t="shared" si="14"/>
        <v>3869.090909090909</v>
      </c>
      <c r="O27" s="62">
        <f t="shared" si="14"/>
        <v>3869.090909090909</v>
      </c>
      <c r="P27" s="316">
        <f t="shared" si="14"/>
        <v>3869.090909090909</v>
      </c>
    </row>
    <row r="28" spans="1:16" x14ac:dyDescent="0.35">
      <c r="A28" s="321" t="s">
        <v>69</v>
      </c>
      <c r="B28" s="314">
        <f>'5-Year New Campus'!C114</f>
        <v>37440</v>
      </c>
      <c r="C28" s="319">
        <f t="shared" si="9"/>
        <v>0</v>
      </c>
      <c r="D28" s="318">
        <f t="shared" si="4"/>
        <v>37439.999999999993</v>
      </c>
      <c r="E28" s="317">
        <v>0</v>
      </c>
      <c r="F28" s="62">
        <f>B28/11</f>
        <v>3403.6363636363635</v>
      </c>
      <c r="G28" s="62">
        <f t="shared" ref="G28:P28" si="15">F28</f>
        <v>3403.6363636363635</v>
      </c>
      <c r="H28" s="62">
        <f t="shared" si="15"/>
        <v>3403.6363636363635</v>
      </c>
      <c r="I28" s="62">
        <f t="shared" si="15"/>
        <v>3403.6363636363635</v>
      </c>
      <c r="J28" s="62">
        <f t="shared" si="15"/>
        <v>3403.6363636363635</v>
      </c>
      <c r="K28" s="62">
        <f t="shared" si="15"/>
        <v>3403.6363636363635</v>
      </c>
      <c r="L28" s="62">
        <f t="shared" si="15"/>
        <v>3403.6363636363635</v>
      </c>
      <c r="M28" s="62">
        <f t="shared" si="15"/>
        <v>3403.6363636363635</v>
      </c>
      <c r="N28" s="62">
        <f t="shared" si="15"/>
        <v>3403.6363636363635</v>
      </c>
      <c r="O28" s="62">
        <f t="shared" si="15"/>
        <v>3403.6363636363635</v>
      </c>
      <c r="P28" s="316">
        <f t="shared" si="15"/>
        <v>3403.6363636363635</v>
      </c>
    </row>
    <row r="29" spans="1:16" x14ac:dyDescent="0.35">
      <c r="A29" s="321" t="s">
        <v>70</v>
      </c>
      <c r="B29" s="314">
        <f>'5-Year New Campus'!C115</f>
        <v>48480</v>
      </c>
      <c r="C29" s="319">
        <f t="shared" si="9"/>
        <v>0</v>
      </c>
      <c r="D29" s="318">
        <f t="shared" si="4"/>
        <v>48480</v>
      </c>
      <c r="E29" s="317">
        <f t="shared" ref="E29:E36" si="16">B29/12</f>
        <v>4040</v>
      </c>
      <c r="F29" s="62">
        <f t="shared" ref="F29:F36" si="17">E29</f>
        <v>4040</v>
      </c>
      <c r="G29" s="62">
        <f t="shared" ref="G29:P29" si="18">F29</f>
        <v>4040</v>
      </c>
      <c r="H29" s="62">
        <f t="shared" si="18"/>
        <v>4040</v>
      </c>
      <c r="I29" s="62">
        <f t="shared" si="18"/>
        <v>4040</v>
      </c>
      <c r="J29" s="62">
        <f t="shared" si="18"/>
        <v>4040</v>
      </c>
      <c r="K29" s="62">
        <f t="shared" si="18"/>
        <v>4040</v>
      </c>
      <c r="L29" s="62">
        <f t="shared" si="18"/>
        <v>4040</v>
      </c>
      <c r="M29" s="62">
        <f t="shared" si="18"/>
        <v>4040</v>
      </c>
      <c r="N29" s="62">
        <f t="shared" si="18"/>
        <v>4040</v>
      </c>
      <c r="O29" s="62">
        <f t="shared" si="18"/>
        <v>4040</v>
      </c>
      <c r="P29" s="316">
        <f t="shared" si="18"/>
        <v>4040</v>
      </c>
    </row>
    <row r="30" spans="1:16" x14ac:dyDescent="0.35">
      <c r="A30" s="321" t="s">
        <v>38</v>
      </c>
      <c r="B30" s="314">
        <f>'5-Year New Campus'!C116</f>
        <v>0</v>
      </c>
      <c r="C30" s="319">
        <f t="shared" si="9"/>
        <v>0</v>
      </c>
      <c r="D30" s="318">
        <f t="shared" si="4"/>
        <v>0</v>
      </c>
      <c r="E30" s="317">
        <f t="shared" si="16"/>
        <v>0</v>
      </c>
      <c r="F30" s="62">
        <f t="shared" si="17"/>
        <v>0</v>
      </c>
      <c r="G30" s="62">
        <f t="shared" ref="G30:P30" si="19">F30</f>
        <v>0</v>
      </c>
      <c r="H30" s="62">
        <f t="shared" si="19"/>
        <v>0</v>
      </c>
      <c r="I30" s="62">
        <f t="shared" si="19"/>
        <v>0</v>
      </c>
      <c r="J30" s="62">
        <f t="shared" si="19"/>
        <v>0</v>
      </c>
      <c r="K30" s="62">
        <f t="shared" si="19"/>
        <v>0</v>
      </c>
      <c r="L30" s="62">
        <f t="shared" si="19"/>
        <v>0</v>
      </c>
      <c r="M30" s="62">
        <f t="shared" si="19"/>
        <v>0</v>
      </c>
      <c r="N30" s="62">
        <f t="shared" si="19"/>
        <v>0</v>
      </c>
      <c r="O30" s="62">
        <f t="shared" si="19"/>
        <v>0</v>
      </c>
      <c r="P30" s="316">
        <f t="shared" si="19"/>
        <v>0</v>
      </c>
    </row>
    <row r="31" spans="1:16" x14ac:dyDescent="0.35">
      <c r="A31" s="327" t="s">
        <v>371</v>
      </c>
      <c r="B31" s="314">
        <v>0</v>
      </c>
      <c r="C31" s="319">
        <f t="shared" si="9"/>
        <v>0</v>
      </c>
      <c r="D31" s="318">
        <f t="shared" si="4"/>
        <v>0</v>
      </c>
      <c r="E31" s="317">
        <f t="shared" si="16"/>
        <v>0</v>
      </c>
      <c r="F31" s="62">
        <f t="shared" si="17"/>
        <v>0</v>
      </c>
      <c r="G31" s="62">
        <f t="shared" ref="G31:P31" si="20">F31</f>
        <v>0</v>
      </c>
      <c r="H31" s="62">
        <f t="shared" si="20"/>
        <v>0</v>
      </c>
      <c r="I31" s="62">
        <f t="shared" si="20"/>
        <v>0</v>
      </c>
      <c r="J31" s="62">
        <f t="shared" si="20"/>
        <v>0</v>
      </c>
      <c r="K31" s="62">
        <f t="shared" si="20"/>
        <v>0</v>
      </c>
      <c r="L31" s="62">
        <f t="shared" si="20"/>
        <v>0</v>
      </c>
      <c r="M31" s="62">
        <f t="shared" si="20"/>
        <v>0</v>
      </c>
      <c r="N31" s="62">
        <f t="shared" si="20"/>
        <v>0</v>
      </c>
      <c r="O31" s="62">
        <f t="shared" si="20"/>
        <v>0</v>
      </c>
      <c r="P31" s="316">
        <f t="shared" si="20"/>
        <v>0</v>
      </c>
    </row>
    <row r="32" spans="1:16" x14ac:dyDescent="0.35">
      <c r="A32" s="321" t="s">
        <v>39</v>
      </c>
      <c r="B32" s="314">
        <v>0</v>
      </c>
      <c r="C32" s="319">
        <f t="shared" si="9"/>
        <v>0</v>
      </c>
      <c r="D32" s="318">
        <f t="shared" si="4"/>
        <v>0</v>
      </c>
      <c r="E32" s="317">
        <f t="shared" si="16"/>
        <v>0</v>
      </c>
      <c r="F32" s="62">
        <f t="shared" si="17"/>
        <v>0</v>
      </c>
      <c r="G32" s="62">
        <f t="shared" ref="G32:P32" si="21">F32</f>
        <v>0</v>
      </c>
      <c r="H32" s="62">
        <f t="shared" si="21"/>
        <v>0</v>
      </c>
      <c r="I32" s="62">
        <f t="shared" si="21"/>
        <v>0</v>
      </c>
      <c r="J32" s="62">
        <f t="shared" si="21"/>
        <v>0</v>
      </c>
      <c r="K32" s="62">
        <f t="shared" si="21"/>
        <v>0</v>
      </c>
      <c r="L32" s="62">
        <f t="shared" si="21"/>
        <v>0</v>
      </c>
      <c r="M32" s="62">
        <f t="shared" si="21"/>
        <v>0</v>
      </c>
      <c r="N32" s="62">
        <f t="shared" si="21"/>
        <v>0</v>
      </c>
      <c r="O32" s="62">
        <f t="shared" si="21"/>
        <v>0</v>
      </c>
      <c r="P32" s="316">
        <f t="shared" si="21"/>
        <v>0</v>
      </c>
    </row>
    <row r="33" spans="1:16" x14ac:dyDescent="0.35">
      <c r="A33" s="321" t="s">
        <v>40</v>
      </c>
      <c r="B33" s="314">
        <v>0</v>
      </c>
      <c r="C33" s="319">
        <f t="shared" si="9"/>
        <v>0</v>
      </c>
      <c r="D33" s="318">
        <f t="shared" si="4"/>
        <v>0</v>
      </c>
      <c r="E33" s="317">
        <f t="shared" si="16"/>
        <v>0</v>
      </c>
      <c r="F33" s="62">
        <f t="shared" si="17"/>
        <v>0</v>
      </c>
      <c r="G33" s="62">
        <f t="shared" ref="G33:P33" si="22">F33</f>
        <v>0</v>
      </c>
      <c r="H33" s="62">
        <f t="shared" si="22"/>
        <v>0</v>
      </c>
      <c r="I33" s="62">
        <f t="shared" si="22"/>
        <v>0</v>
      </c>
      <c r="J33" s="62">
        <f t="shared" si="22"/>
        <v>0</v>
      </c>
      <c r="K33" s="62">
        <f t="shared" si="22"/>
        <v>0</v>
      </c>
      <c r="L33" s="62">
        <f t="shared" si="22"/>
        <v>0</v>
      </c>
      <c r="M33" s="62">
        <f t="shared" si="22"/>
        <v>0</v>
      </c>
      <c r="N33" s="62">
        <f t="shared" si="22"/>
        <v>0</v>
      </c>
      <c r="O33" s="62">
        <f t="shared" si="22"/>
        <v>0</v>
      </c>
      <c r="P33" s="316">
        <f t="shared" si="22"/>
        <v>0</v>
      </c>
    </row>
    <row r="34" spans="1:16" x14ac:dyDescent="0.35">
      <c r="A34" s="321" t="s">
        <v>41</v>
      </c>
      <c r="B34" s="314">
        <v>0</v>
      </c>
      <c r="C34" s="319">
        <f t="shared" si="9"/>
        <v>0</v>
      </c>
      <c r="D34" s="318">
        <f t="shared" si="4"/>
        <v>0</v>
      </c>
      <c r="E34" s="317">
        <f t="shared" si="16"/>
        <v>0</v>
      </c>
      <c r="F34" s="62">
        <f t="shared" si="17"/>
        <v>0</v>
      </c>
      <c r="G34" s="62">
        <f t="shared" ref="G34:P34" si="23">F34</f>
        <v>0</v>
      </c>
      <c r="H34" s="62">
        <f t="shared" si="23"/>
        <v>0</v>
      </c>
      <c r="I34" s="62">
        <f t="shared" si="23"/>
        <v>0</v>
      </c>
      <c r="J34" s="62">
        <f t="shared" si="23"/>
        <v>0</v>
      </c>
      <c r="K34" s="62">
        <f t="shared" si="23"/>
        <v>0</v>
      </c>
      <c r="L34" s="62">
        <f t="shared" si="23"/>
        <v>0</v>
      </c>
      <c r="M34" s="62">
        <f t="shared" si="23"/>
        <v>0</v>
      </c>
      <c r="N34" s="62">
        <f t="shared" si="23"/>
        <v>0</v>
      </c>
      <c r="O34" s="62">
        <f t="shared" si="23"/>
        <v>0</v>
      </c>
      <c r="P34" s="316">
        <f t="shared" si="23"/>
        <v>0</v>
      </c>
    </row>
    <row r="35" spans="1:16" x14ac:dyDescent="0.35">
      <c r="A35" s="321" t="s">
        <v>43</v>
      </c>
      <c r="B35" s="314">
        <v>0</v>
      </c>
      <c r="C35" s="319">
        <f t="shared" si="9"/>
        <v>0</v>
      </c>
      <c r="D35" s="318">
        <f t="shared" si="4"/>
        <v>0</v>
      </c>
      <c r="E35" s="317">
        <f t="shared" si="16"/>
        <v>0</v>
      </c>
      <c r="F35" s="62">
        <f t="shared" si="17"/>
        <v>0</v>
      </c>
      <c r="G35" s="62">
        <f t="shared" ref="G35:P35" si="24">F35</f>
        <v>0</v>
      </c>
      <c r="H35" s="62">
        <f t="shared" si="24"/>
        <v>0</v>
      </c>
      <c r="I35" s="62">
        <f t="shared" si="24"/>
        <v>0</v>
      </c>
      <c r="J35" s="62">
        <f t="shared" si="24"/>
        <v>0</v>
      </c>
      <c r="K35" s="62">
        <f t="shared" si="24"/>
        <v>0</v>
      </c>
      <c r="L35" s="62">
        <f t="shared" si="24"/>
        <v>0</v>
      </c>
      <c r="M35" s="62">
        <f t="shared" si="24"/>
        <v>0</v>
      </c>
      <c r="N35" s="62">
        <f t="shared" si="24"/>
        <v>0</v>
      </c>
      <c r="O35" s="62">
        <f t="shared" si="24"/>
        <v>0</v>
      </c>
      <c r="P35" s="316">
        <f t="shared" si="24"/>
        <v>0</v>
      </c>
    </row>
    <row r="36" spans="1:16" x14ac:dyDescent="0.35">
      <c r="A36" s="321" t="s">
        <v>74</v>
      </c>
      <c r="B36" s="314">
        <v>0</v>
      </c>
      <c r="C36" s="319">
        <f t="shared" si="9"/>
        <v>0</v>
      </c>
      <c r="D36" s="318">
        <f t="shared" si="4"/>
        <v>0</v>
      </c>
      <c r="E36" s="317">
        <f t="shared" si="16"/>
        <v>0</v>
      </c>
      <c r="F36" s="62">
        <f t="shared" si="17"/>
        <v>0</v>
      </c>
      <c r="G36" s="62">
        <f t="shared" ref="G36:P36" si="25">F36</f>
        <v>0</v>
      </c>
      <c r="H36" s="62">
        <f t="shared" si="25"/>
        <v>0</v>
      </c>
      <c r="I36" s="62">
        <f t="shared" si="25"/>
        <v>0</v>
      </c>
      <c r="J36" s="62">
        <f t="shared" si="25"/>
        <v>0</v>
      </c>
      <c r="K36" s="62">
        <f t="shared" si="25"/>
        <v>0</v>
      </c>
      <c r="L36" s="62">
        <f t="shared" si="25"/>
        <v>0</v>
      </c>
      <c r="M36" s="62">
        <f t="shared" si="25"/>
        <v>0</v>
      </c>
      <c r="N36" s="62">
        <f t="shared" si="25"/>
        <v>0</v>
      </c>
      <c r="O36" s="62">
        <f t="shared" si="25"/>
        <v>0</v>
      </c>
      <c r="P36" s="316">
        <f t="shared" si="25"/>
        <v>0</v>
      </c>
    </row>
    <row r="37" spans="1:16" x14ac:dyDescent="0.35">
      <c r="A37" s="321" t="s">
        <v>44</v>
      </c>
      <c r="B37" s="314">
        <f>'5-Year New Campus'!C125</f>
        <v>26000</v>
      </c>
      <c r="C37" s="326">
        <f t="shared" si="9"/>
        <v>-2166.6666666666642</v>
      </c>
      <c r="D37" s="318">
        <f t="shared" si="4"/>
        <v>23833.333333333336</v>
      </c>
      <c r="E37" s="317">
        <v>0</v>
      </c>
      <c r="F37" s="62">
        <f>B37/12</f>
        <v>2166.6666666666665</v>
      </c>
      <c r="G37" s="62">
        <f t="shared" ref="G37:P37" si="26">F37</f>
        <v>2166.6666666666665</v>
      </c>
      <c r="H37" s="62">
        <f t="shared" si="26"/>
        <v>2166.6666666666665</v>
      </c>
      <c r="I37" s="62">
        <f t="shared" si="26"/>
        <v>2166.6666666666665</v>
      </c>
      <c r="J37" s="62">
        <f t="shared" si="26"/>
        <v>2166.6666666666665</v>
      </c>
      <c r="K37" s="62">
        <f t="shared" si="26"/>
        <v>2166.6666666666665</v>
      </c>
      <c r="L37" s="62">
        <f t="shared" si="26"/>
        <v>2166.6666666666665</v>
      </c>
      <c r="M37" s="62">
        <f t="shared" si="26"/>
        <v>2166.6666666666665</v>
      </c>
      <c r="N37" s="62">
        <f t="shared" si="26"/>
        <v>2166.6666666666665</v>
      </c>
      <c r="O37" s="62">
        <f t="shared" si="26"/>
        <v>2166.6666666666665</v>
      </c>
      <c r="P37" s="316">
        <f t="shared" si="26"/>
        <v>2166.6666666666665</v>
      </c>
    </row>
    <row r="38" spans="1:16" x14ac:dyDescent="0.35">
      <c r="A38" s="321" t="s">
        <v>77</v>
      </c>
      <c r="B38" s="314">
        <f>'5-Year New Campus'!C127</f>
        <v>19610</v>
      </c>
      <c r="C38" s="319">
        <f t="shared" si="9"/>
        <v>0</v>
      </c>
      <c r="D38" s="318">
        <f t="shared" si="4"/>
        <v>19609.999999999996</v>
      </c>
      <c r="E38" s="317">
        <v>0</v>
      </c>
      <c r="F38" s="62">
        <f>B38/11</f>
        <v>1782.7272727272727</v>
      </c>
      <c r="G38" s="62">
        <f t="shared" ref="G38:P38" si="27">F38</f>
        <v>1782.7272727272727</v>
      </c>
      <c r="H38" s="62">
        <f t="shared" si="27"/>
        <v>1782.7272727272727</v>
      </c>
      <c r="I38" s="62">
        <f t="shared" si="27"/>
        <v>1782.7272727272727</v>
      </c>
      <c r="J38" s="62">
        <f t="shared" si="27"/>
        <v>1782.7272727272727</v>
      </c>
      <c r="K38" s="62">
        <f t="shared" si="27"/>
        <v>1782.7272727272727</v>
      </c>
      <c r="L38" s="62">
        <f t="shared" si="27"/>
        <v>1782.7272727272727</v>
      </c>
      <c r="M38" s="62">
        <f t="shared" si="27"/>
        <v>1782.7272727272727</v>
      </c>
      <c r="N38" s="62">
        <f t="shared" si="27"/>
        <v>1782.7272727272727</v>
      </c>
      <c r="O38" s="62">
        <f t="shared" si="27"/>
        <v>1782.7272727272727</v>
      </c>
      <c r="P38" s="316">
        <f t="shared" si="27"/>
        <v>1782.7272727272727</v>
      </c>
    </row>
    <row r="39" spans="1:16" x14ac:dyDescent="0.35">
      <c r="A39" s="321" t="s">
        <v>78</v>
      </c>
      <c r="B39" s="314">
        <f>'5-Year New Campus'!C128</f>
        <v>22500</v>
      </c>
      <c r="C39" s="319">
        <f t="shared" si="9"/>
        <v>0</v>
      </c>
      <c r="D39" s="318">
        <f t="shared" si="4"/>
        <v>22500</v>
      </c>
      <c r="E39" s="317">
        <v>0</v>
      </c>
      <c r="F39" s="62">
        <f>B39/11</f>
        <v>2045.4545454545455</v>
      </c>
      <c r="G39" s="62">
        <f t="shared" ref="G39:P39" si="28">F39</f>
        <v>2045.4545454545455</v>
      </c>
      <c r="H39" s="62">
        <f t="shared" si="28"/>
        <v>2045.4545454545455</v>
      </c>
      <c r="I39" s="62">
        <f t="shared" si="28"/>
        <v>2045.4545454545455</v>
      </c>
      <c r="J39" s="62">
        <f t="shared" si="28"/>
        <v>2045.4545454545455</v>
      </c>
      <c r="K39" s="62">
        <f t="shared" si="28"/>
        <v>2045.4545454545455</v>
      </c>
      <c r="L39" s="62">
        <f t="shared" si="28"/>
        <v>2045.4545454545455</v>
      </c>
      <c r="M39" s="62">
        <f t="shared" si="28"/>
        <v>2045.4545454545455</v>
      </c>
      <c r="N39" s="62">
        <f t="shared" si="28"/>
        <v>2045.4545454545455</v>
      </c>
      <c r="O39" s="62">
        <f t="shared" si="28"/>
        <v>2045.4545454545455</v>
      </c>
      <c r="P39" s="316">
        <f t="shared" si="28"/>
        <v>2045.4545454545455</v>
      </c>
    </row>
    <row r="40" spans="1:16" x14ac:dyDescent="0.35">
      <c r="A40" s="321" t="s">
        <v>217</v>
      </c>
      <c r="B40" s="314">
        <f>'5-Year New Campus'!C131</f>
        <v>504597.02970599994</v>
      </c>
      <c r="C40" s="326">
        <f t="shared" si="9"/>
        <v>-31803.989583333314</v>
      </c>
      <c r="D40" s="318">
        <f t="shared" si="4"/>
        <v>472793.04012266663</v>
      </c>
      <c r="E40" s="325">
        <f>(SUM(E19:E39)*0.2975)</f>
        <v>5854.9108088333332</v>
      </c>
      <c r="F40" s="7">
        <f>(SUM(F19:F39)*0.2975)</f>
        <v>42448.920846712113</v>
      </c>
      <c r="G40" s="7">
        <f t="shared" ref="G40:O40" si="29">(SUM(G19:G39)*0.2975)</f>
        <v>42448.920846712113</v>
      </c>
      <c r="H40" s="7">
        <f t="shared" si="29"/>
        <v>42448.920846712113</v>
      </c>
      <c r="I40" s="7">
        <f t="shared" si="29"/>
        <v>42448.920846712113</v>
      </c>
      <c r="J40" s="7">
        <f t="shared" si="29"/>
        <v>42448.920846712113</v>
      </c>
      <c r="K40" s="7">
        <f t="shared" si="29"/>
        <v>42448.920846712113</v>
      </c>
      <c r="L40" s="7">
        <f t="shared" si="29"/>
        <v>42448.920846712113</v>
      </c>
      <c r="M40" s="7">
        <f t="shared" si="29"/>
        <v>42448.920846712113</v>
      </c>
      <c r="N40" s="7">
        <f t="shared" si="29"/>
        <v>42448.920846712113</v>
      </c>
      <c r="O40" s="7">
        <f t="shared" si="29"/>
        <v>42448.920846712113</v>
      </c>
      <c r="P40" s="324">
        <f>(SUM(P19:P39)*0.2975)</f>
        <v>42448.920846712113</v>
      </c>
    </row>
    <row r="41" spans="1:16" x14ac:dyDescent="0.35">
      <c r="A41" s="321" t="s">
        <v>81</v>
      </c>
      <c r="B41" s="314">
        <f>'5-Year New Campus'!C132</f>
        <v>313783.02687599999</v>
      </c>
      <c r="C41" s="326">
        <f t="shared" si="9"/>
        <v>-23750.321590666717</v>
      </c>
      <c r="D41" s="318">
        <f t="shared" si="4"/>
        <v>290032.70528533327</v>
      </c>
      <c r="E41" s="325">
        <f>((SUM(E19:E39)*0.1825))</f>
        <v>3591.6679751666666</v>
      </c>
      <c r="F41" s="7">
        <f>((SUM(F19:F39)*0.1825))</f>
        <v>26040.094300924236</v>
      </c>
      <c r="G41" s="7">
        <f t="shared" ref="G41:O41" si="30">((SUM(G19:G39)*0.1825))</f>
        <v>26040.094300924236</v>
      </c>
      <c r="H41" s="7">
        <f t="shared" si="30"/>
        <v>26040.094300924236</v>
      </c>
      <c r="I41" s="7">
        <f t="shared" si="30"/>
        <v>26040.094300924236</v>
      </c>
      <c r="J41" s="7">
        <f t="shared" si="30"/>
        <v>26040.094300924236</v>
      </c>
      <c r="K41" s="7">
        <f t="shared" si="30"/>
        <v>26040.094300924236</v>
      </c>
      <c r="L41" s="7">
        <f t="shared" si="30"/>
        <v>26040.094300924236</v>
      </c>
      <c r="M41" s="7">
        <f t="shared" si="30"/>
        <v>26040.094300924236</v>
      </c>
      <c r="N41" s="7">
        <f t="shared" si="30"/>
        <v>26040.094300924236</v>
      </c>
      <c r="O41" s="7">
        <f t="shared" si="30"/>
        <v>26040.094300924236</v>
      </c>
      <c r="P41" s="324">
        <f>((SUM(P19:P39)*0.1825))</f>
        <v>26040.094300924236</v>
      </c>
    </row>
    <row r="42" spans="1:16" x14ac:dyDescent="0.35">
      <c r="A42" s="321" t="s">
        <v>82</v>
      </c>
      <c r="B42" s="314">
        <f>'5-Year New Campus'!C133</f>
        <v>10157.5</v>
      </c>
      <c r="C42" s="319">
        <f t="shared" si="9"/>
        <v>0</v>
      </c>
      <c r="D42" s="318">
        <f t="shared" si="4"/>
        <v>10157.5</v>
      </c>
      <c r="E42" s="317"/>
      <c r="F42" s="62"/>
      <c r="G42" s="62">
        <f>B42*0.75</f>
        <v>7618.125</v>
      </c>
      <c r="H42" s="62"/>
      <c r="I42" s="62"/>
      <c r="J42" s="62">
        <f>B42*0.25</f>
        <v>2539.375</v>
      </c>
      <c r="K42" s="62"/>
      <c r="L42" s="62"/>
      <c r="M42" s="62"/>
      <c r="N42" s="62"/>
      <c r="O42" s="62"/>
      <c r="P42" s="316">
        <v>0</v>
      </c>
    </row>
    <row r="43" spans="1:16" x14ac:dyDescent="0.35">
      <c r="A43" s="321" t="s">
        <v>83</v>
      </c>
      <c r="B43" s="314">
        <f>'5-Year New Campus'!C134</f>
        <v>0</v>
      </c>
      <c r="C43" s="319">
        <f t="shared" si="9"/>
        <v>0</v>
      </c>
      <c r="D43" s="318">
        <f t="shared" si="4"/>
        <v>0</v>
      </c>
      <c r="E43" s="317"/>
      <c r="F43" s="62"/>
      <c r="G43" s="62"/>
      <c r="H43" s="62"/>
      <c r="I43" s="62"/>
      <c r="J43" s="62">
        <v>0</v>
      </c>
      <c r="K43" s="62"/>
      <c r="L43" s="62"/>
      <c r="M43" s="62"/>
      <c r="N43" s="62">
        <v>0</v>
      </c>
      <c r="O43" s="62"/>
      <c r="P43" s="316"/>
    </row>
    <row r="44" spans="1:16" x14ac:dyDescent="0.35">
      <c r="A44" s="321" t="s">
        <v>84</v>
      </c>
      <c r="B44" s="314">
        <f>'5-Year New Campus'!C135</f>
        <v>5400</v>
      </c>
      <c r="C44" s="319">
        <f t="shared" si="9"/>
        <v>0</v>
      </c>
      <c r="D44" s="318">
        <f t="shared" si="4"/>
        <v>5400</v>
      </c>
      <c r="E44" s="317"/>
      <c r="F44" s="62"/>
      <c r="G44" s="62"/>
      <c r="H44" s="62"/>
      <c r="I44" s="62"/>
      <c r="J44" s="62"/>
      <c r="K44" s="62">
        <f>B44/2</f>
        <v>2700</v>
      </c>
      <c r="L44" s="62"/>
      <c r="M44" s="62"/>
      <c r="N44" s="62"/>
      <c r="O44" s="62"/>
      <c r="P44" s="316">
        <f>B44/2</f>
        <v>2700</v>
      </c>
    </row>
    <row r="45" spans="1:16" x14ac:dyDescent="0.35">
      <c r="A45" s="321" t="s">
        <v>370</v>
      </c>
      <c r="B45" s="314">
        <f>'5-Year New Campus'!C136</f>
        <v>24525</v>
      </c>
      <c r="C45" s="319">
        <f t="shared" si="9"/>
        <v>0</v>
      </c>
      <c r="D45" s="318">
        <f t="shared" si="4"/>
        <v>24525</v>
      </c>
      <c r="E45" s="317"/>
      <c r="F45" s="62">
        <f>B45/10</f>
        <v>2452.5</v>
      </c>
      <c r="G45" s="62">
        <f t="shared" ref="G45:O45" si="31">F45</f>
        <v>2452.5</v>
      </c>
      <c r="H45" s="62">
        <f t="shared" si="31"/>
        <v>2452.5</v>
      </c>
      <c r="I45" s="62">
        <f t="shared" si="31"/>
        <v>2452.5</v>
      </c>
      <c r="J45" s="62">
        <f t="shared" si="31"/>
        <v>2452.5</v>
      </c>
      <c r="K45" s="62">
        <f t="shared" si="31"/>
        <v>2452.5</v>
      </c>
      <c r="L45" s="62">
        <f t="shared" si="31"/>
        <v>2452.5</v>
      </c>
      <c r="M45" s="62">
        <f t="shared" si="31"/>
        <v>2452.5</v>
      </c>
      <c r="N45" s="62">
        <f t="shared" si="31"/>
        <v>2452.5</v>
      </c>
      <c r="O45" s="62">
        <f t="shared" si="31"/>
        <v>2452.5</v>
      </c>
      <c r="P45" s="316"/>
    </row>
    <row r="46" spans="1:16" x14ac:dyDescent="0.35">
      <c r="A46" s="323" t="s">
        <v>88</v>
      </c>
      <c r="B46" s="314">
        <f>'5-Year New Campus'!C140</f>
        <v>40800</v>
      </c>
      <c r="C46" s="319">
        <f t="shared" si="9"/>
        <v>0</v>
      </c>
      <c r="D46" s="318">
        <f t="shared" si="4"/>
        <v>40800</v>
      </c>
      <c r="E46" s="317">
        <f>B46*0.8</f>
        <v>32640</v>
      </c>
      <c r="F46" s="62">
        <f>(B46-E46)/2</f>
        <v>4080</v>
      </c>
      <c r="G46" s="62">
        <f>F46</f>
        <v>4080</v>
      </c>
      <c r="H46" s="62"/>
      <c r="I46" s="62"/>
      <c r="J46" s="62"/>
      <c r="K46" s="62"/>
      <c r="L46" s="62"/>
      <c r="M46" s="62"/>
      <c r="N46" s="62"/>
      <c r="O46" s="62"/>
      <c r="P46" s="316"/>
    </row>
    <row r="47" spans="1:16" x14ac:dyDescent="0.35">
      <c r="A47" s="323" t="s">
        <v>395</v>
      </c>
      <c r="B47" s="314">
        <f>'5-Year New Campus'!C141</f>
        <v>0</v>
      </c>
      <c r="C47" s="319">
        <f t="shared" si="9"/>
        <v>0</v>
      </c>
      <c r="D47" s="318">
        <f t="shared" si="4"/>
        <v>0</v>
      </c>
      <c r="E47" s="317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316"/>
    </row>
    <row r="48" spans="1:16" x14ac:dyDescent="0.35">
      <c r="A48" s="321" t="s">
        <v>89</v>
      </c>
      <c r="B48" s="314">
        <f>'5-Year New Campus'!C142</f>
        <v>76500</v>
      </c>
      <c r="C48" s="319">
        <f t="shared" si="9"/>
        <v>0</v>
      </c>
      <c r="D48" s="318">
        <f t="shared" si="4"/>
        <v>76500</v>
      </c>
      <c r="E48" s="317"/>
      <c r="F48" s="62"/>
      <c r="G48" s="62"/>
      <c r="H48" s="62"/>
      <c r="I48" s="62">
        <f>B48/8</f>
        <v>9562.5</v>
      </c>
      <c r="J48" s="62">
        <f t="shared" ref="J48:P54" si="32">I48</f>
        <v>9562.5</v>
      </c>
      <c r="K48" s="62">
        <f t="shared" si="32"/>
        <v>9562.5</v>
      </c>
      <c r="L48" s="62">
        <f t="shared" si="32"/>
        <v>9562.5</v>
      </c>
      <c r="M48" s="62">
        <f t="shared" si="32"/>
        <v>9562.5</v>
      </c>
      <c r="N48" s="62">
        <f t="shared" si="32"/>
        <v>9562.5</v>
      </c>
      <c r="O48" s="62">
        <f t="shared" si="32"/>
        <v>9562.5</v>
      </c>
      <c r="P48" s="316">
        <f t="shared" si="32"/>
        <v>9562.5</v>
      </c>
    </row>
    <row r="49" spans="1:16" x14ac:dyDescent="0.35">
      <c r="A49" s="321" t="s">
        <v>91</v>
      </c>
      <c r="B49" s="314">
        <f>'5-Year New Campus'!C144</f>
        <v>7616</v>
      </c>
      <c r="C49" s="319">
        <f t="shared" si="9"/>
        <v>0</v>
      </c>
      <c r="D49" s="318">
        <f t="shared" si="4"/>
        <v>7615.9999999999982</v>
      </c>
      <c r="E49" s="317">
        <f t="shared" ref="E49:E54" si="33">B49*0.5</f>
        <v>3808</v>
      </c>
      <c r="F49" s="62">
        <f t="shared" ref="F49:F54" si="34">(B49-E49)/11</f>
        <v>346.18181818181819</v>
      </c>
      <c r="G49" s="62">
        <f t="shared" ref="G49:I54" si="35">F49</f>
        <v>346.18181818181819</v>
      </c>
      <c r="H49" s="62">
        <f t="shared" si="35"/>
        <v>346.18181818181819</v>
      </c>
      <c r="I49" s="62">
        <f t="shared" si="35"/>
        <v>346.18181818181819</v>
      </c>
      <c r="J49" s="62">
        <f t="shared" si="32"/>
        <v>346.18181818181819</v>
      </c>
      <c r="K49" s="62">
        <f t="shared" si="32"/>
        <v>346.18181818181819</v>
      </c>
      <c r="L49" s="62">
        <f t="shared" si="32"/>
        <v>346.18181818181819</v>
      </c>
      <c r="M49" s="62">
        <f t="shared" si="32"/>
        <v>346.18181818181819</v>
      </c>
      <c r="N49" s="62">
        <f t="shared" si="32"/>
        <v>346.18181818181819</v>
      </c>
      <c r="O49" s="62">
        <f t="shared" si="32"/>
        <v>346.18181818181819</v>
      </c>
      <c r="P49" s="316">
        <f t="shared" si="32"/>
        <v>346.18181818181819</v>
      </c>
    </row>
    <row r="50" spans="1:16" x14ac:dyDescent="0.35">
      <c r="A50" s="321" t="s">
        <v>92</v>
      </c>
      <c r="B50" s="314">
        <f>'5-Year New Campus'!C145</f>
        <v>15776</v>
      </c>
      <c r="C50" s="319">
        <f t="shared" si="9"/>
        <v>0</v>
      </c>
      <c r="D50" s="318">
        <f t="shared" si="4"/>
        <v>15776.000000000009</v>
      </c>
      <c r="E50" s="317">
        <f t="shared" si="33"/>
        <v>7888</v>
      </c>
      <c r="F50" s="62">
        <f t="shared" si="34"/>
        <v>717.09090909090912</v>
      </c>
      <c r="G50" s="62">
        <f t="shared" si="35"/>
        <v>717.09090909090912</v>
      </c>
      <c r="H50" s="62">
        <f t="shared" si="35"/>
        <v>717.09090909090912</v>
      </c>
      <c r="I50" s="62">
        <f t="shared" si="35"/>
        <v>717.09090909090912</v>
      </c>
      <c r="J50" s="62">
        <f t="shared" si="32"/>
        <v>717.09090909090912</v>
      </c>
      <c r="K50" s="62">
        <f t="shared" si="32"/>
        <v>717.09090909090912</v>
      </c>
      <c r="L50" s="62">
        <f t="shared" si="32"/>
        <v>717.09090909090912</v>
      </c>
      <c r="M50" s="62">
        <f t="shared" si="32"/>
        <v>717.09090909090912</v>
      </c>
      <c r="N50" s="62">
        <f t="shared" si="32"/>
        <v>717.09090909090912</v>
      </c>
      <c r="O50" s="62">
        <f t="shared" si="32"/>
        <v>717.09090909090912</v>
      </c>
      <c r="P50" s="316">
        <f t="shared" si="32"/>
        <v>717.09090909090912</v>
      </c>
    </row>
    <row r="51" spans="1:16" x14ac:dyDescent="0.35">
      <c r="A51" s="321" t="s">
        <v>93</v>
      </c>
      <c r="B51" s="314">
        <f>'5-Year New Campus'!C146</f>
        <v>2312</v>
      </c>
      <c r="C51" s="319">
        <f t="shared" si="9"/>
        <v>0</v>
      </c>
      <c r="D51" s="318">
        <f t="shared" ref="D51:D82" si="36">SUM(E51:P51)</f>
        <v>2311.9999999999991</v>
      </c>
      <c r="E51" s="317">
        <f t="shared" si="33"/>
        <v>1156</v>
      </c>
      <c r="F51" s="62">
        <f t="shared" si="34"/>
        <v>105.09090909090909</v>
      </c>
      <c r="G51" s="62">
        <f t="shared" si="35"/>
        <v>105.09090909090909</v>
      </c>
      <c r="H51" s="62">
        <f t="shared" si="35"/>
        <v>105.09090909090909</v>
      </c>
      <c r="I51" s="62">
        <f t="shared" si="35"/>
        <v>105.09090909090909</v>
      </c>
      <c r="J51" s="62">
        <f t="shared" si="32"/>
        <v>105.09090909090909</v>
      </c>
      <c r="K51" s="62">
        <f t="shared" si="32"/>
        <v>105.09090909090909</v>
      </c>
      <c r="L51" s="62">
        <f t="shared" si="32"/>
        <v>105.09090909090909</v>
      </c>
      <c r="M51" s="62">
        <f t="shared" si="32"/>
        <v>105.09090909090909</v>
      </c>
      <c r="N51" s="62">
        <f t="shared" si="32"/>
        <v>105.09090909090909</v>
      </c>
      <c r="O51" s="62">
        <f t="shared" si="32"/>
        <v>105.09090909090909</v>
      </c>
      <c r="P51" s="316">
        <f t="shared" si="32"/>
        <v>105.09090909090909</v>
      </c>
    </row>
    <row r="52" spans="1:16" x14ac:dyDescent="0.35">
      <c r="A52" s="321" t="s">
        <v>94</v>
      </c>
      <c r="B52" s="314">
        <f>'5-Year New Campus'!C147</f>
        <v>1768</v>
      </c>
      <c r="C52" s="319">
        <f t="shared" si="9"/>
        <v>0</v>
      </c>
      <c r="D52" s="318">
        <f t="shared" si="36"/>
        <v>1767.9999999999991</v>
      </c>
      <c r="E52" s="317">
        <f t="shared" si="33"/>
        <v>884</v>
      </c>
      <c r="F52" s="62">
        <f t="shared" si="34"/>
        <v>80.36363636363636</v>
      </c>
      <c r="G52" s="62">
        <f t="shared" si="35"/>
        <v>80.36363636363636</v>
      </c>
      <c r="H52" s="62">
        <f t="shared" si="35"/>
        <v>80.36363636363636</v>
      </c>
      <c r="I52" s="62">
        <f t="shared" si="35"/>
        <v>80.36363636363636</v>
      </c>
      <c r="J52" s="62">
        <f t="shared" si="32"/>
        <v>80.36363636363636</v>
      </c>
      <c r="K52" s="62">
        <f t="shared" si="32"/>
        <v>80.36363636363636</v>
      </c>
      <c r="L52" s="62">
        <f t="shared" si="32"/>
        <v>80.36363636363636</v>
      </c>
      <c r="M52" s="62">
        <f t="shared" si="32"/>
        <v>80.36363636363636</v>
      </c>
      <c r="N52" s="62">
        <f t="shared" si="32"/>
        <v>80.36363636363636</v>
      </c>
      <c r="O52" s="62">
        <f t="shared" si="32"/>
        <v>80.36363636363636</v>
      </c>
      <c r="P52" s="316">
        <f t="shared" si="32"/>
        <v>80.36363636363636</v>
      </c>
    </row>
    <row r="53" spans="1:16" x14ac:dyDescent="0.35">
      <c r="A53" s="321" t="s">
        <v>95</v>
      </c>
      <c r="B53" s="314">
        <f>'5-Year New Campus'!C148</f>
        <v>11929.92</v>
      </c>
      <c r="C53" s="319">
        <f t="shared" si="9"/>
        <v>0</v>
      </c>
      <c r="D53" s="318">
        <f t="shared" si="36"/>
        <v>11929.919999999998</v>
      </c>
      <c r="E53" s="317">
        <f t="shared" si="33"/>
        <v>5964.96</v>
      </c>
      <c r="F53" s="62">
        <f t="shared" si="34"/>
        <v>542.26909090909089</v>
      </c>
      <c r="G53" s="62">
        <f t="shared" si="35"/>
        <v>542.26909090909089</v>
      </c>
      <c r="H53" s="62">
        <f t="shared" si="35"/>
        <v>542.26909090909089</v>
      </c>
      <c r="I53" s="62">
        <f t="shared" si="35"/>
        <v>542.26909090909089</v>
      </c>
      <c r="J53" s="62">
        <f t="shared" si="32"/>
        <v>542.26909090909089</v>
      </c>
      <c r="K53" s="62">
        <f t="shared" si="32"/>
        <v>542.26909090909089</v>
      </c>
      <c r="L53" s="62">
        <f t="shared" si="32"/>
        <v>542.26909090909089</v>
      </c>
      <c r="M53" s="62">
        <f t="shared" si="32"/>
        <v>542.26909090909089</v>
      </c>
      <c r="N53" s="62">
        <f t="shared" si="32"/>
        <v>542.26909090909089</v>
      </c>
      <c r="O53" s="62">
        <f t="shared" si="32"/>
        <v>542.26909090909089</v>
      </c>
      <c r="P53" s="316">
        <f t="shared" si="32"/>
        <v>542.26909090909089</v>
      </c>
    </row>
    <row r="54" spans="1:16" x14ac:dyDescent="0.35">
      <c r="A54" s="321" t="s">
        <v>350</v>
      </c>
      <c r="B54" s="314">
        <f>'5-Year New Campus'!C149</f>
        <v>0</v>
      </c>
      <c r="C54" s="319">
        <f t="shared" si="9"/>
        <v>0</v>
      </c>
      <c r="D54" s="318">
        <f t="shared" si="36"/>
        <v>0</v>
      </c>
      <c r="E54" s="317">
        <f t="shared" si="33"/>
        <v>0</v>
      </c>
      <c r="F54" s="62">
        <f t="shared" si="34"/>
        <v>0</v>
      </c>
      <c r="G54" s="62">
        <f t="shared" si="35"/>
        <v>0</v>
      </c>
      <c r="H54" s="62">
        <f t="shared" si="35"/>
        <v>0</v>
      </c>
      <c r="I54" s="62">
        <f t="shared" si="35"/>
        <v>0</v>
      </c>
      <c r="J54" s="62">
        <f t="shared" si="32"/>
        <v>0</v>
      </c>
      <c r="K54" s="62">
        <f t="shared" si="32"/>
        <v>0</v>
      </c>
      <c r="L54" s="62">
        <f t="shared" si="32"/>
        <v>0</v>
      </c>
      <c r="M54" s="62">
        <f t="shared" si="32"/>
        <v>0</v>
      </c>
      <c r="N54" s="62">
        <f t="shared" si="32"/>
        <v>0</v>
      </c>
      <c r="O54" s="62">
        <f t="shared" si="32"/>
        <v>0</v>
      </c>
      <c r="P54" s="316">
        <f t="shared" si="32"/>
        <v>0</v>
      </c>
    </row>
    <row r="55" spans="1:16" x14ac:dyDescent="0.35">
      <c r="A55" s="321" t="s">
        <v>99</v>
      </c>
      <c r="B55" s="314">
        <f>'5-Year New Campus'!C152</f>
        <v>6250</v>
      </c>
      <c r="C55" s="319">
        <f t="shared" si="9"/>
        <v>0</v>
      </c>
      <c r="D55" s="318">
        <f t="shared" si="36"/>
        <v>6250</v>
      </c>
      <c r="E55" s="317"/>
      <c r="F55" s="62"/>
      <c r="G55" s="62"/>
      <c r="H55" s="62"/>
      <c r="I55" s="62"/>
      <c r="J55" s="62"/>
      <c r="K55" s="62">
        <f>B55/2</f>
        <v>3125</v>
      </c>
      <c r="L55" s="62"/>
      <c r="M55" s="62"/>
      <c r="N55" s="62"/>
      <c r="O55" s="62"/>
      <c r="P55" s="316">
        <f>K55</f>
        <v>3125</v>
      </c>
    </row>
    <row r="56" spans="1:16" x14ac:dyDescent="0.35">
      <c r="A56" s="321" t="s">
        <v>100</v>
      </c>
      <c r="B56" s="314">
        <f>'5-Year New Campus'!C153</f>
        <v>108800</v>
      </c>
      <c r="C56" s="319">
        <f t="shared" si="9"/>
        <v>0</v>
      </c>
      <c r="D56" s="318">
        <f t="shared" si="36"/>
        <v>108799.99999999999</v>
      </c>
      <c r="E56" s="317"/>
      <c r="F56" s="62">
        <f>B56/11</f>
        <v>9890.9090909090901</v>
      </c>
      <c r="G56" s="62">
        <f t="shared" ref="G56:P56" si="37">F56</f>
        <v>9890.9090909090901</v>
      </c>
      <c r="H56" s="62">
        <f t="shared" si="37"/>
        <v>9890.9090909090901</v>
      </c>
      <c r="I56" s="62">
        <f t="shared" si="37"/>
        <v>9890.9090909090901</v>
      </c>
      <c r="J56" s="62">
        <f t="shared" si="37"/>
        <v>9890.9090909090901</v>
      </c>
      <c r="K56" s="62">
        <f t="shared" si="37"/>
        <v>9890.9090909090901</v>
      </c>
      <c r="L56" s="62">
        <f t="shared" si="37"/>
        <v>9890.9090909090901</v>
      </c>
      <c r="M56" s="62">
        <f t="shared" si="37"/>
        <v>9890.9090909090901</v>
      </c>
      <c r="N56" s="62">
        <f t="shared" si="37"/>
        <v>9890.9090909090901</v>
      </c>
      <c r="O56" s="62">
        <f t="shared" si="37"/>
        <v>9890.9090909090901</v>
      </c>
      <c r="P56" s="316">
        <f t="shared" si="37"/>
        <v>9890.9090909090901</v>
      </c>
    </row>
    <row r="57" spans="1:16" x14ac:dyDescent="0.35">
      <c r="A57" s="321" t="s">
        <v>101</v>
      </c>
      <c r="B57" s="314">
        <f>'5-Year New Campus'!C154</f>
        <v>0</v>
      </c>
      <c r="C57" s="319">
        <f t="shared" si="9"/>
        <v>0</v>
      </c>
      <c r="D57" s="318">
        <f t="shared" si="36"/>
        <v>0</v>
      </c>
      <c r="E57" s="317">
        <f>B57/12</f>
        <v>0</v>
      </c>
      <c r="F57" s="62">
        <f>E57</f>
        <v>0</v>
      </c>
      <c r="G57" s="62">
        <f t="shared" ref="G57:P57" si="38">F57</f>
        <v>0</v>
      </c>
      <c r="H57" s="62">
        <f t="shared" si="38"/>
        <v>0</v>
      </c>
      <c r="I57" s="62">
        <f t="shared" si="38"/>
        <v>0</v>
      </c>
      <c r="J57" s="62">
        <f t="shared" si="38"/>
        <v>0</v>
      </c>
      <c r="K57" s="62">
        <f t="shared" si="38"/>
        <v>0</v>
      </c>
      <c r="L57" s="62">
        <f t="shared" si="38"/>
        <v>0</v>
      </c>
      <c r="M57" s="62">
        <f t="shared" si="38"/>
        <v>0</v>
      </c>
      <c r="N57" s="62">
        <f t="shared" si="38"/>
        <v>0</v>
      </c>
      <c r="O57" s="62">
        <f t="shared" si="38"/>
        <v>0</v>
      </c>
      <c r="P57" s="316">
        <f t="shared" si="38"/>
        <v>0</v>
      </c>
    </row>
    <row r="58" spans="1:16" x14ac:dyDescent="0.35">
      <c r="A58" s="321" t="s">
        <v>369</v>
      </c>
      <c r="B58" s="314">
        <f>'5-Year New Campus'!C155</f>
        <v>0</v>
      </c>
      <c r="C58" s="319"/>
      <c r="D58" s="318">
        <f t="shared" si="36"/>
        <v>0</v>
      </c>
      <c r="E58" s="317">
        <f>B58/12</f>
        <v>0</v>
      </c>
      <c r="F58" s="62">
        <f>E58</f>
        <v>0</v>
      </c>
      <c r="G58" s="62">
        <f t="shared" ref="G58:P58" si="39">F58</f>
        <v>0</v>
      </c>
      <c r="H58" s="62">
        <f t="shared" si="39"/>
        <v>0</v>
      </c>
      <c r="I58" s="62">
        <f t="shared" si="39"/>
        <v>0</v>
      </c>
      <c r="J58" s="62">
        <f t="shared" si="39"/>
        <v>0</v>
      </c>
      <c r="K58" s="62">
        <f t="shared" si="39"/>
        <v>0</v>
      </c>
      <c r="L58" s="62">
        <f t="shared" si="39"/>
        <v>0</v>
      </c>
      <c r="M58" s="62">
        <f t="shared" si="39"/>
        <v>0</v>
      </c>
      <c r="N58" s="62">
        <f t="shared" si="39"/>
        <v>0</v>
      </c>
      <c r="O58" s="62">
        <f t="shared" si="39"/>
        <v>0</v>
      </c>
      <c r="P58" s="316">
        <f t="shared" si="39"/>
        <v>0</v>
      </c>
    </row>
    <row r="59" spans="1:16" x14ac:dyDescent="0.35">
      <c r="A59" s="321" t="s">
        <v>103</v>
      </c>
      <c r="B59" s="314">
        <f>'5-Year New Campus'!C156</f>
        <v>8820</v>
      </c>
      <c r="C59" s="319">
        <f t="shared" ref="C59:C82" si="40">D59-B59</f>
        <v>0</v>
      </c>
      <c r="D59" s="318">
        <f t="shared" si="36"/>
        <v>8820</v>
      </c>
      <c r="E59" s="317">
        <f>B59/12</f>
        <v>735</v>
      </c>
      <c r="F59" s="62">
        <f>E59</f>
        <v>735</v>
      </c>
      <c r="G59" s="62">
        <f t="shared" ref="G59:P59" si="41">F59</f>
        <v>735</v>
      </c>
      <c r="H59" s="62">
        <f t="shared" si="41"/>
        <v>735</v>
      </c>
      <c r="I59" s="62">
        <f t="shared" si="41"/>
        <v>735</v>
      </c>
      <c r="J59" s="62">
        <f t="shared" si="41"/>
        <v>735</v>
      </c>
      <c r="K59" s="62">
        <f t="shared" si="41"/>
        <v>735</v>
      </c>
      <c r="L59" s="62">
        <f t="shared" si="41"/>
        <v>735</v>
      </c>
      <c r="M59" s="62">
        <f t="shared" si="41"/>
        <v>735</v>
      </c>
      <c r="N59" s="62">
        <f t="shared" si="41"/>
        <v>735</v>
      </c>
      <c r="O59" s="62">
        <f t="shared" si="41"/>
        <v>735</v>
      </c>
      <c r="P59" s="316">
        <f t="shared" si="41"/>
        <v>735</v>
      </c>
    </row>
    <row r="60" spans="1:16" x14ac:dyDescent="0.35">
      <c r="A60" s="321" t="s">
        <v>104</v>
      </c>
      <c r="B60" s="314">
        <f>'5-Year New Campus'!C157</f>
        <v>0</v>
      </c>
      <c r="C60" s="319">
        <f t="shared" si="40"/>
        <v>0</v>
      </c>
      <c r="D60" s="318">
        <f t="shared" si="36"/>
        <v>0</v>
      </c>
      <c r="E60" s="317"/>
      <c r="F60" s="62"/>
      <c r="G60" s="62"/>
      <c r="H60" s="62"/>
      <c r="I60" s="62">
        <f>B60*0.8</f>
        <v>0</v>
      </c>
      <c r="J60" s="62"/>
      <c r="K60" s="62"/>
      <c r="L60" s="62">
        <f>B60-I60</f>
        <v>0</v>
      </c>
      <c r="M60" s="62"/>
      <c r="N60" s="62"/>
      <c r="O60" s="62"/>
      <c r="P60" s="316"/>
    </row>
    <row r="61" spans="1:16" x14ac:dyDescent="0.35">
      <c r="A61" s="321" t="s">
        <v>105</v>
      </c>
      <c r="B61" s="314">
        <f>'5-Year New Campus'!C158</f>
        <v>5500</v>
      </c>
      <c r="C61" s="319">
        <f t="shared" si="40"/>
        <v>0</v>
      </c>
      <c r="D61" s="318">
        <f t="shared" si="36"/>
        <v>5500</v>
      </c>
      <c r="E61" s="317">
        <v>4000</v>
      </c>
      <c r="F61" s="62">
        <v>750</v>
      </c>
      <c r="G61" s="62">
        <v>250</v>
      </c>
      <c r="H61" s="62">
        <v>250</v>
      </c>
      <c r="I61" s="62">
        <v>250</v>
      </c>
      <c r="J61" s="62"/>
      <c r="K61" s="62"/>
      <c r="L61" s="62"/>
      <c r="M61" s="62"/>
      <c r="N61" s="62"/>
      <c r="O61" s="62"/>
      <c r="P61" s="316"/>
    </row>
    <row r="62" spans="1:16" x14ac:dyDescent="0.35">
      <c r="A62" s="321" t="s">
        <v>106</v>
      </c>
      <c r="B62" s="314">
        <f>'5-Year New Campus'!C159</f>
        <v>24480</v>
      </c>
      <c r="C62" s="319">
        <f t="shared" si="40"/>
        <v>0</v>
      </c>
      <c r="D62" s="318">
        <f t="shared" si="36"/>
        <v>24480</v>
      </c>
      <c r="E62" s="317">
        <f>B62/12</f>
        <v>2040</v>
      </c>
      <c r="F62" s="62">
        <f t="shared" ref="F62:P62" si="42">E62</f>
        <v>2040</v>
      </c>
      <c r="G62" s="62">
        <f t="shared" si="42"/>
        <v>2040</v>
      </c>
      <c r="H62" s="62">
        <f t="shared" si="42"/>
        <v>2040</v>
      </c>
      <c r="I62" s="62">
        <f t="shared" si="42"/>
        <v>2040</v>
      </c>
      <c r="J62" s="62">
        <f t="shared" si="42"/>
        <v>2040</v>
      </c>
      <c r="K62" s="62">
        <f t="shared" si="42"/>
        <v>2040</v>
      </c>
      <c r="L62" s="62">
        <f t="shared" si="42"/>
        <v>2040</v>
      </c>
      <c r="M62" s="62">
        <f t="shared" si="42"/>
        <v>2040</v>
      </c>
      <c r="N62" s="62">
        <f t="shared" si="42"/>
        <v>2040</v>
      </c>
      <c r="O62" s="62">
        <f t="shared" si="42"/>
        <v>2040</v>
      </c>
      <c r="P62" s="316">
        <f t="shared" si="42"/>
        <v>2040</v>
      </c>
    </row>
    <row r="63" spans="1:16" x14ac:dyDescent="0.35">
      <c r="A63" s="321" t="s">
        <v>107</v>
      </c>
      <c r="B63" s="314">
        <f>'5-Year New Campus'!C160</f>
        <v>15000</v>
      </c>
      <c r="C63" s="319">
        <f t="shared" si="40"/>
        <v>0</v>
      </c>
      <c r="D63" s="318">
        <f t="shared" si="36"/>
        <v>15000</v>
      </c>
      <c r="E63" s="317">
        <v>10000</v>
      </c>
      <c r="F63" s="62">
        <v>2000</v>
      </c>
      <c r="G63" s="62">
        <v>3000</v>
      </c>
      <c r="H63" s="62"/>
      <c r="I63" s="62"/>
      <c r="J63" s="62"/>
      <c r="K63" s="62"/>
      <c r="L63" s="62"/>
      <c r="M63" s="62"/>
      <c r="N63" s="62"/>
      <c r="O63" s="62"/>
      <c r="P63" s="316"/>
    </row>
    <row r="64" spans="1:16" x14ac:dyDescent="0.35">
      <c r="A64" s="321" t="s">
        <v>368</v>
      </c>
      <c r="B64" s="314">
        <f>'5-Year New Campus'!C161</f>
        <v>49062</v>
      </c>
      <c r="C64" s="319">
        <f t="shared" si="40"/>
        <v>0</v>
      </c>
      <c r="D64" s="318">
        <f t="shared" si="36"/>
        <v>49062</v>
      </c>
      <c r="E64" s="317">
        <f>B64/12</f>
        <v>4088.5</v>
      </c>
      <c r="F64" s="62">
        <f t="shared" ref="F64:P64" si="43">E64</f>
        <v>4088.5</v>
      </c>
      <c r="G64" s="62">
        <f t="shared" si="43"/>
        <v>4088.5</v>
      </c>
      <c r="H64" s="62">
        <f t="shared" si="43"/>
        <v>4088.5</v>
      </c>
      <c r="I64" s="62">
        <f t="shared" si="43"/>
        <v>4088.5</v>
      </c>
      <c r="J64" s="62">
        <f t="shared" si="43"/>
        <v>4088.5</v>
      </c>
      <c r="K64" s="62">
        <f t="shared" si="43"/>
        <v>4088.5</v>
      </c>
      <c r="L64" s="62">
        <f t="shared" si="43"/>
        <v>4088.5</v>
      </c>
      <c r="M64" s="62">
        <f t="shared" si="43"/>
        <v>4088.5</v>
      </c>
      <c r="N64" s="62">
        <f t="shared" si="43"/>
        <v>4088.5</v>
      </c>
      <c r="O64" s="62">
        <f t="shared" si="43"/>
        <v>4088.5</v>
      </c>
      <c r="P64" s="316">
        <f t="shared" si="43"/>
        <v>4088.5</v>
      </c>
    </row>
    <row r="65" spans="1:16" x14ac:dyDescent="0.35">
      <c r="A65" s="321" t="s">
        <v>108</v>
      </c>
      <c r="B65" s="314">
        <f>'5-Year New Campus'!C162</f>
        <v>19624.8</v>
      </c>
      <c r="C65" s="319">
        <f t="shared" si="40"/>
        <v>0</v>
      </c>
      <c r="D65" s="318">
        <f t="shared" si="36"/>
        <v>19624.8</v>
      </c>
      <c r="E65" s="317">
        <f>B65/12</f>
        <v>1635.3999999999999</v>
      </c>
      <c r="F65" s="62">
        <f t="shared" ref="F65:P65" si="44">E65</f>
        <v>1635.3999999999999</v>
      </c>
      <c r="G65" s="62">
        <f t="shared" si="44"/>
        <v>1635.3999999999999</v>
      </c>
      <c r="H65" s="62">
        <f t="shared" si="44"/>
        <v>1635.3999999999999</v>
      </c>
      <c r="I65" s="62">
        <f t="shared" si="44"/>
        <v>1635.3999999999999</v>
      </c>
      <c r="J65" s="62">
        <f t="shared" si="44"/>
        <v>1635.3999999999999</v>
      </c>
      <c r="K65" s="62">
        <f t="shared" si="44"/>
        <v>1635.3999999999999</v>
      </c>
      <c r="L65" s="62">
        <f t="shared" si="44"/>
        <v>1635.3999999999999</v>
      </c>
      <c r="M65" s="62">
        <f t="shared" si="44"/>
        <v>1635.3999999999999</v>
      </c>
      <c r="N65" s="62">
        <f t="shared" si="44"/>
        <v>1635.3999999999999</v>
      </c>
      <c r="O65" s="62">
        <f t="shared" si="44"/>
        <v>1635.3999999999999</v>
      </c>
      <c r="P65" s="316">
        <f t="shared" si="44"/>
        <v>1635.3999999999999</v>
      </c>
    </row>
    <row r="66" spans="1:16" x14ac:dyDescent="0.35">
      <c r="A66" s="321" t="s">
        <v>109</v>
      </c>
      <c r="B66" s="314">
        <f>'5-Year New Campus'!C163</f>
        <v>19624.8</v>
      </c>
      <c r="C66" s="319">
        <f t="shared" si="40"/>
        <v>0</v>
      </c>
      <c r="D66" s="318">
        <f t="shared" si="36"/>
        <v>19624.8</v>
      </c>
      <c r="E66" s="317">
        <f>B66/12</f>
        <v>1635.3999999999999</v>
      </c>
      <c r="F66" s="62">
        <f t="shared" ref="F66:P66" si="45">E66</f>
        <v>1635.3999999999999</v>
      </c>
      <c r="G66" s="62">
        <f t="shared" si="45"/>
        <v>1635.3999999999999</v>
      </c>
      <c r="H66" s="62">
        <f t="shared" si="45"/>
        <v>1635.3999999999999</v>
      </c>
      <c r="I66" s="62">
        <f t="shared" si="45"/>
        <v>1635.3999999999999</v>
      </c>
      <c r="J66" s="62">
        <f t="shared" si="45"/>
        <v>1635.3999999999999</v>
      </c>
      <c r="K66" s="62">
        <f t="shared" si="45"/>
        <v>1635.3999999999999</v>
      </c>
      <c r="L66" s="62">
        <f t="shared" si="45"/>
        <v>1635.3999999999999</v>
      </c>
      <c r="M66" s="62">
        <f t="shared" si="45"/>
        <v>1635.3999999999999</v>
      </c>
      <c r="N66" s="62">
        <f t="shared" si="45"/>
        <v>1635.3999999999999</v>
      </c>
      <c r="O66" s="62">
        <f t="shared" si="45"/>
        <v>1635.3999999999999</v>
      </c>
      <c r="P66" s="316">
        <f t="shared" si="45"/>
        <v>1635.3999999999999</v>
      </c>
    </row>
    <row r="67" spans="1:16" x14ac:dyDescent="0.35">
      <c r="A67" s="321" t="s">
        <v>113</v>
      </c>
      <c r="B67" s="314">
        <f>'5-Year New Campus'!C167</f>
        <v>12069.539999999999</v>
      </c>
      <c r="C67" s="319">
        <f t="shared" si="40"/>
        <v>0</v>
      </c>
      <c r="D67" s="318">
        <f t="shared" si="36"/>
        <v>12069.54</v>
      </c>
      <c r="E67" s="317"/>
      <c r="F67" s="62">
        <f>B67/11</f>
        <v>1097.2309090909091</v>
      </c>
      <c r="G67" s="62">
        <f t="shared" ref="G67:P67" si="46">F67</f>
        <v>1097.2309090909091</v>
      </c>
      <c r="H67" s="62">
        <f t="shared" si="46"/>
        <v>1097.2309090909091</v>
      </c>
      <c r="I67" s="62">
        <f t="shared" si="46"/>
        <v>1097.2309090909091</v>
      </c>
      <c r="J67" s="62">
        <f t="shared" si="46"/>
        <v>1097.2309090909091</v>
      </c>
      <c r="K67" s="62">
        <f t="shared" si="46"/>
        <v>1097.2309090909091</v>
      </c>
      <c r="L67" s="62">
        <f t="shared" si="46"/>
        <v>1097.2309090909091</v>
      </c>
      <c r="M67" s="62">
        <f t="shared" si="46"/>
        <v>1097.2309090909091</v>
      </c>
      <c r="N67" s="62">
        <f t="shared" si="46"/>
        <v>1097.2309090909091</v>
      </c>
      <c r="O67" s="62">
        <f t="shared" si="46"/>
        <v>1097.2309090909091</v>
      </c>
      <c r="P67" s="316">
        <f t="shared" si="46"/>
        <v>1097.2309090909091</v>
      </c>
    </row>
    <row r="68" spans="1:16" x14ac:dyDescent="0.35">
      <c r="A68" s="321" t="s">
        <v>114</v>
      </c>
      <c r="B68" s="314">
        <f>'5-Year New Campus'!C168</f>
        <v>4017</v>
      </c>
      <c r="C68" s="319">
        <f t="shared" si="40"/>
        <v>0</v>
      </c>
      <c r="D68" s="318">
        <f t="shared" si="36"/>
        <v>4016.9999999999991</v>
      </c>
      <c r="E68" s="317"/>
      <c r="F68" s="62">
        <f>B68/11</f>
        <v>365.18181818181819</v>
      </c>
      <c r="G68" s="62">
        <f t="shared" ref="G68:P68" si="47">F68</f>
        <v>365.18181818181819</v>
      </c>
      <c r="H68" s="62">
        <f t="shared" si="47"/>
        <v>365.18181818181819</v>
      </c>
      <c r="I68" s="62">
        <f t="shared" si="47"/>
        <v>365.18181818181819</v>
      </c>
      <c r="J68" s="62">
        <f t="shared" si="47"/>
        <v>365.18181818181819</v>
      </c>
      <c r="K68" s="62">
        <f t="shared" si="47"/>
        <v>365.18181818181819</v>
      </c>
      <c r="L68" s="62">
        <f t="shared" si="47"/>
        <v>365.18181818181819</v>
      </c>
      <c r="M68" s="62">
        <f t="shared" si="47"/>
        <v>365.18181818181819</v>
      </c>
      <c r="N68" s="62">
        <f t="shared" si="47"/>
        <v>365.18181818181819</v>
      </c>
      <c r="O68" s="62">
        <f t="shared" si="47"/>
        <v>365.18181818181819</v>
      </c>
      <c r="P68" s="316">
        <f t="shared" si="47"/>
        <v>365.18181818181819</v>
      </c>
    </row>
    <row r="69" spans="1:16" x14ac:dyDescent="0.35">
      <c r="A69" s="321" t="s">
        <v>115</v>
      </c>
      <c r="B69" s="314">
        <f>'5-Year New Campus'!C169</f>
        <v>0</v>
      </c>
      <c r="C69" s="319">
        <f t="shared" si="40"/>
        <v>0</v>
      </c>
      <c r="D69" s="318">
        <f t="shared" si="36"/>
        <v>0</v>
      </c>
      <c r="E69" s="317"/>
      <c r="F69" s="62"/>
      <c r="G69" s="62">
        <f>F69</f>
        <v>0</v>
      </c>
      <c r="H69" s="62"/>
      <c r="I69" s="62"/>
      <c r="J69" s="62"/>
      <c r="K69" s="62"/>
      <c r="L69" s="62"/>
      <c r="M69" s="62"/>
      <c r="N69" s="62"/>
      <c r="O69" s="62"/>
      <c r="P69" s="316"/>
    </row>
    <row r="70" spans="1:16" x14ac:dyDescent="0.35">
      <c r="A70" s="321" t="s">
        <v>116</v>
      </c>
      <c r="B70" s="314">
        <f>'5-Year New Campus'!C170</f>
        <v>700</v>
      </c>
      <c r="C70" s="319">
        <f t="shared" si="40"/>
        <v>0</v>
      </c>
      <c r="D70" s="318">
        <f t="shared" si="36"/>
        <v>700.00000000000011</v>
      </c>
      <c r="E70" s="317">
        <f>B70/12</f>
        <v>58.333333333333336</v>
      </c>
      <c r="F70" s="62">
        <f>E70</f>
        <v>58.333333333333336</v>
      </c>
      <c r="G70" s="62">
        <f>F70</f>
        <v>58.333333333333336</v>
      </c>
      <c r="H70" s="62">
        <f t="shared" ref="H70:P70" si="48">G70</f>
        <v>58.333333333333336</v>
      </c>
      <c r="I70" s="62">
        <f t="shared" si="48"/>
        <v>58.333333333333336</v>
      </c>
      <c r="J70" s="62">
        <f t="shared" si="48"/>
        <v>58.333333333333336</v>
      </c>
      <c r="K70" s="62">
        <f t="shared" si="48"/>
        <v>58.333333333333336</v>
      </c>
      <c r="L70" s="62">
        <f t="shared" si="48"/>
        <v>58.333333333333336</v>
      </c>
      <c r="M70" s="62">
        <f t="shared" si="48"/>
        <v>58.333333333333336</v>
      </c>
      <c r="N70" s="62">
        <f t="shared" si="48"/>
        <v>58.333333333333336</v>
      </c>
      <c r="O70" s="62">
        <f t="shared" si="48"/>
        <v>58.333333333333336</v>
      </c>
      <c r="P70" s="316">
        <f t="shared" si="48"/>
        <v>58.333333333333336</v>
      </c>
    </row>
    <row r="71" spans="1:16" x14ac:dyDescent="0.35">
      <c r="A71" s="321" t="s">
        <v>117</v>
      </c>
      <c r="B71" s="314">
        <f>'5-Year New Campus'!C171</f>
        <v>4500</v>
      </c>
      <c r="C71" s="319">
        <f t="shared" si="40"/>
        <v>0</v>
      </c>
      <c r="D71" s="318">
        <f t="shared" si="36"/>
        <v>4500</v>
      </c>
      <c r="E71" s="317"/>
      <c r="F71" s="62">
        <f>B71</f>
        <v>4500</v>
      </c>
      <c r="G71" s="62"/>
      <c r="H71" s="62"/>
      <c r="I71" s="62"/>
      <c r="J71" s="62"/>
      <c r="K71" s="62"/>
      <c r="L71" s="62"/>
      <c r="M71" s="62"/>
      <c r="N71" s="62"/>
      <c r="O71" s="62"/>
      <c r="P71" s="316"/>
    </row>
    <row r="72" spans="1:16" x14ac:dyDescent="0.35">
      <c r="A72" s="321" t="s">
        <v>118</v>
      </c>
      <c r="B72" s="314">
        <f>'5-Year New Campus'!C172</f>
        <v>25750</v>
      </c>
      <c r="C72" s="319">
        <f t="shared" si="40"/>
        <v>0</v>
      </c>
      <c r="D72" s="318">
        <f t="shared" si="36"/>
        <v>25750.000000000007</v>
      </c>
      <c r="E72" s="317"/>
      <c r="F72" s="62">
        <f>B72/11</f>
        <v>2340.909090909091</v>
      </c>
      <c r="G72" s="62">
        <f t="shared" ref="G72:P72" si="49">F72</f>
        <v>2340.909090909091</v>
      </c>
      <c r="H72" s="62">
        <f t="shared" si="49"/>
        <v>2340.909090909091</v>
      </c>
      <c r="I72" s="62">
        <f t="shared" si="49"/>
        <v>2340.909090909091</v>
      </c>
      <c r="J72" s="62">
        <f t="shared" si="49"/>
        <v>2340.909090909091</v>
      </c>
      <c r="K72" s="62">
        <f t="shared" si="49"/>
        <v>2340.909090909091</v>
      </c>
      <c r="L72" s="62">
        <f t="shared" si="49"/>
        <v>2340.909090909091</v>
      </c>
      <c r="M72" s="62">
        <f t="shared" si="49"/>
        <v>2340.909090909091</v>
      </c>
      <c r="N72" s="62">
        <f t="shared" si="49"/>
        <v>2340.909090909091</v>
      </c>
      <c r="O72" s="62">
        <f t="shared" si="49"/>
        <v>2340.909090909091</v>
      </c>
      <c r="P72" s="316">
        <f t="shared" si="49"/>
        <v>2340.909090909091</v>
      </c>
    </row>
    <row r="73" spans="1:16" x14ac:dyDescent="0.35">
      <c r="A73" s="321" t="s">
        <v>119</v>
      </c>
      <c r="B73" s="314">
        <f>'5-Year New Campus'!C173</f>
        <v>3296</v>
      </c>
      <c r="C73" s="319">
        <f t="shared" si="40"/>
        <v>0</v>
      </c>
      <c r="D73" s="318">
        <f t="shared" si="36"/>
        <v>3296</v>
      </c>
      <c r="E73" s="317"/>
      <c r="F73" s="62">
        <f>B73</f>
        <v>3296</v>
      </c>
      <c r="G73" s="62"/>
      <c r="H73" s="62"/>
      <c r="I73" s="62"/>
      <c r="J73" s="62"/>
      <c r="K73" s="62"/>
      <c r="L73" s="62"/>
      <c r="M73" s="62"/>
      <c r="N73" s="62"/>
      <c r="O73" s="62"/>
      <c r="P73" s="316"/>
    </row>
    <row r="74" spans="1:16" x14ac:dyDescent="0.35">
      <c r="A74" s="321" t="s">
        <v>367</v>
      </c>
      <c r="B74" s="314">
        <f>'5-Year New Campus'!C176</f>
        <v>7955.3</v>
      </c>
      <c r="C74" s="319">
        <f t="shared" si="40"/>
        <v>0</v>
      </c>
      <c r="D74" s="318">
        <f t="shared" si="36"/>
        <v>7955.3</v>
      </c>
      <c r="E74" s="317"/>
      <c r="F74" s="62"/>
      <c r="G74" s="62">
        <f>B74*0.7</f>
        <v>5568.71</v>
      </c>
      <c r="H74" s="62"/>
      <c r="I74" s="62"/>
      <c r="J74" s="62"/>
      <c r="K74" s="62">
        <f>B74*0.3</f>
        <v>2386.59</v>
      </c>
      <c r="L74" s="62"/>
      <c r="M74" s="62"/>
      <c r="N74" s="62"/>
      <c r="O74" s="62"/>
      <c r="P74" s="316"/>
    </row>
    <row r="75" spans="1:16" x14ac:dyDescent="0.35">
      <c r="A75" s="321" t="s">
        <v>122</v>
      </c>
      <c r="B75" s="314">
        <f>'5-Year New Campus'!C177</f>
        <v>7955.3</v>
      </c>
      <c r="C75" s="319">
        <f t="shared" si="40"/>
        <v>0</v>
      </c>
      <c r="D75" s="318">
        <f t="shared" si="36"/>
        <v>7955.3</v>
      </c>
      <c r="E75" s="317"/>
      <c r="F75" s="62"/>
      <c r="G75" s="62">
        <f>B75*0.7</f>
        <v>5568.71</v>
      </c>
      <c r="H75" s="62"/>
      <c r="I75" s="62"/>
      <c r="J75" s="62"/>
      <c r="K75" s="62">
        <f>B75*0.3</f>
        <v>2386.59</v>
      </c>
      <c r="L75" s="62"/>
      <c r="M75" s="62"/>
      <c r="N75" s="62"/>
      <c r="O75" s="62"/>
      <c r="P75" s="316"/>
    </row>
    <row r="76" spans="1:16" x14ac:dyDescent="0.35">
      <c r="A76" s="321" t="s">
        <v>123</v>
      </c>
      <c r="B76" s="314">
        <f>'5-Year New Campus'!C178</f>
        <v>7955.3</v>
      </c>
      <c r="C76" s="319">
        <f t="shared" si="40"/>
        <v>0</v>
      </c>
      <c r="D76" s="318">
        <f t="shared" si="36"/>
        <v>7955.3</v>
      </c>
      <c r="E76" s="317"/>
      <c r="F76" s="62"/>
      <c r="G76" s="62">
        <f>B76*0.7</f>
        <v>5568.71</v>
      </c>
      <c r="H76" s="62"/>
      <c r="I76" s="62"/>
      <c r="J76" s="62"/>
      <c r="K76" s="62">
        <f>B76*0.3</f>
        <v>2386.59</v>
      </c>
      <c r="L76" s="62"/>
      <c r="M76" s="62"/>
      <c r="N76" s="62"/>
      <c r="O76" s="62"/>
      <c r="P76" s="316"/>
    </row>
    <row r="77" spans="1:16" x14ac:dyDescent="0.35">
      <c r="A77" s="321" t="s">
        <v>126</v>
      </c>
      <c r="B77" s="314">
        <f>'5-Year New Campus'!C181</f>
        <v>197574.40000000002</v>
      </c>
      <c r="C77" s="319">
        <f t="shared" si="40"/>
        <v>0</v>
      </c>
      <c r="D77" s="318">
        <f t="shared" si="36"/>
        <v>197574.39999999999</v>
      </c>
      <c r="E77" s="317"/>
      <c r="F77" s="322">
        <f>B77/11</f>
        <v>17961.309090909093</v>
      </c>
      <c r="G77" s="62">
        <f t="shared" ref="G77:P77" si="50">F77</f>
        <v>17961.309090909093</v>
      </c>
      <c r="H77" s="62">
        <f t="shared" si="50"/>
        <v>17961.309090909093</v>
      </c>
      <c r="I77" s="62">
        <f t="shared" si="50"/>
        <v>17961.309090909093</v>
      </c>
      <c r="J77" s="62">
        <f t="shared" si="50"/>
        <v>17961.309090909093</v>
      </c>
      <c r="K77" s="62">
        <f t="shared" si="50"/>
        <v>17961.309090909093</v>
      </c>
      <c r="L77" s="62">
        <f t="shared" si="50"/>
        <v>17961.309090909093</v>
      </c>
      <c r="M77" s="62">
        <f t="shared" si="50"/>
        <v>17961.309090909093</v>
      </c>
      <c r="N77" s="62">
        <f t="shared" si="50"/>
        <v>17961.309090909093</v>
      </c>
      <c r="O77" s="62">
        <f t="shared" si="50"/>
        <v>17961.309090909093</v>
      </c>
      <c r="P77" s="316">
        <f t="shared" si="50"/>
        <v>17961.309090909093</v>
      </c>
    </row>
    <row r="78" spans="1:16" x14ac:dyDescent="0.35">
      <c r="A78" s="321" t="s">
        <v>127</v>
      </c>
      <c r="B78" s="314">
        <f>'5-Year New Campus'!C182</f>
        <v>5000</v>
      </c>
      <c r="C78" s="319">
        <f t="shared" si="40"/>
        <v>0</v>
      </c>
      <c r="D78" s="318">
        <f t="shared" si="36"/>
        <v>5000</v>
      </c>
      <c r="E78" s="317">
        <v>2500</v>
      </c>
      <c r="F78" s="62">
        <v>2500</v>
      </c>
      <c r="G78" s="62"/>
      <c r="H78" s="62"/>
      <c r="I78" s="62"/>
      <c r="J78" s="62"/>
      <c r="K78" s="62"/>
      <c r="L78" s="62"/>
      <c r="M78" s="62"/>
      <c r="N78" s="62"/>
      <c r="O78" s="62"/>
      <c r="P78" s="316"/>
    </row>
    <row r="79" spans="1:16" x14ac:dyDescent="0.35">
      <c r="A79" s="321" t="s">
        <v>128</v>
      </c>
      <c r="B79" s="314">
        <f>'5-Year New Campus'!C183</f>
        <v>1250</v>
      </c>
      <c r="C79" s="319">
        <f t="shared" si="40"/>
        <v>0</v>
      </c>
      <c r="D79" s="318">
        <f t="shared" si="36"/>
        <v>1250</v>
      </c>
      <c r="E79" s="317">
        <v>1250</v>
      </c>
      <c r="F79" s="62"/>
      <c r="G79" s="62"/>
      <c r="H79" s="62"/>
      <c r="I79" s="62"/>
      <c r="J79" s="62">
        <v>0</v>
      </c>
      <c r="K79" s="62"/>
      <c r="L79" s="62"/>
      <c r="M79" s="62"/>
      <c r="N79" s="62"/>
      <c r="O79" s="62"/>
      <c r="P79" s="316"/>
    </row>
    <row r="80" spans="1:16" x14ac:dyDescent="0.35">
      <c r="A80" s="321" t="s">
        <v>129</v>
      </c>
      <c r="B80" s="314">
        <f>'5-Year New Campus'!C184</f>
        <v>750</v>
      </c>
      <c r="C80" s="319">
        <f t="shared" si="40"/>
        <v>0</v>
      </c>
      <c r="D80" s="318">
        <f t="shared" si="36"/>
        <v>750.00000000000023</v>
      </c>
      <c r="E80" s="317"/>
      <c r="F80" s="62">
        <f>B80/11</f>
        <v>68.181818181818187</v>
      </c>
      <c r="G80" s="62">
        <f t="shared" ref="G80:P80" si="51">F80</f>
        <v>68.181818181818187</v>
      </c>
      <c r="H80" s="62">
        <f t="shared" si="51"/>
        <v>68.181818181818187</v>
      </c>
      <c r="I80" s="62">
        <f t="shared" si="51"/>
        <v>68.181818181818187</v>
      </c>
      <c r="J80" s="62">
        <f t="shared" si="51"/>
        <v>68.181818181818187</v>
      </c>
      <c r="K80" s="62">
        <f t="shared" si="51"/>
        <v>68.181818181818187</v>
      </c>
      <c r="L80" s="62">
        <f t="shared" si="51"/>
        <v>68.181818181818187</v>
      </c>
      <c r="M80" s="62">
        <f t="shared" si="51"/>
        <v>68.181818181818187</v>
      </c>
      <c r="N80" s="62">
        <f t="shared" si="51"/>
        <v>68.181818181818187</v>
      </c>
      <c r="O80" s="62">
        <f t="shared" si="51"/>
        <v>68.181818181818187</v>
      </c>
      <c r="P80" s="316">
        <f t="shared" si="51"/>
        <v>68.181818181818187</v>
      </c>
    </row>
    <row r="81" spans="1:16" x14ac:dyDescent="0.35">
      <c r="A81" s="321" t="s">
        <v>130</v>
      </c>
      <c r="B81" s="314">
        <f>'5-Year New Campus'!C185</f>
        <v>6500</v>
      </c>
      <c r="C81" s="319">
        <f t="shared" si="40"/>
        <v>0</v>
      </c>
      <c r="D81" s="318">
        <f t="shared" si="36"/>
        <v>6500</v>
      </c>
      <c r="E81" s="317"/>
      <c r="F81" s="62">
        <f>B81/11</f>
        <v>590.90909090909088</v>
      </c>
      <c r="G81" s="62">
        <f t="shared" ref="G81:P81" si="52">F81</f>
        <v>590.90909090909088</v>
      </c>
      <c r="H81" s="62">
        <f t="shared" si="52"/>
        <v>590.90909090909088</v>
      </c>
      <c r="I81" s="62">
        <f t="shared" si="52"/>
        <v>590.90909090909088</v>
      </c>
      <c r="J81" s="62">
        <f t="shared" si="52"/>
        <v>590.90909090909088</v>
      </c>
      <c r="K81" s="62">
        <f t="shared" si="52"/>
        <v>590.90909090909088</v>
      </c>
      <c r="L81" s="62">
        <f t="shared" si="52"/>
        <v>590.90909090909088</v>
      </c>
      <c r="M81" s="62">
        <f t="shared" si="52"/>
        <v>590.90909090909088</v>
      </c>
      <c r="N81" s="62">
        <f t="shared" si="52"/>
        <v>590.90909090909088</v>
      </c>
      <c r="O81" s="62">
        <f t="shared" si="52"/>
        <v>590.90909090909088</v>
      </c>
      <c r="P81" s="316">
        <f t="shared" si="52"/>
        <v>590.90909090909088</v>
      </c>
    </row>
    <row r="82" spans="1:16" x14ac:dyDescent="0.35">
      <c r="A82" s="321" t="s">
        <v>133</v>
      </c>
      <c r="B82" s="314">
        <f>'5-Year New Campus'!C188</f>
        <v>0</v>
      </c>
      <c r="C82" s="319">
        <f t="shared" si="40"/>
        <v>0</v>
      </c>
      <c r="D82" s="318">
        <f t="shared" si="36"/>
        <v>0</v>
      </c>
      <c r="E82" s="317"/>
      <c r="F82" s="62">
        <f>B82/11</f>
        <v>0</v>
      </c>
      <c r="G82" s="62">
        <f t="shared" ref="G82:P82" si="53">F82</f>
        <v>0</v>
      </c>
      <c r="H82" s="62">
        <f t="shared" si="53"/>
        <v>0</v>
      </c>
      <c r="I82" s="62">
        <f t="shared" si="53"/>
        <v>0</v>
      </c>
      <c r="J82" s="62">
        <f t="shared" si="53"/>
        <v>0</v>
      </c>
      <c r="K82" s="62">
        <f t="shared" si="53"/>
        <v>0</v>
      </c>
      <c r="L82" s="62">
        <f t="shared" si="53"/>
        <v>0</v>
      </c>
      <c r="M82" s="62">
        <f t="shared" si="53"/>
        <v>0</v>
      </c>
      <c r="N82" s="62">
        <f t="shared" si="53"/>
        <v>0</v>
      </c>
      <c r="O82" s="62">
        <f t="shared" si="53"/>
        <v>0</v>
      </c>
      <c r="P82" s="316">
        <f t="shared" si="53"/>
        <v>0</v>
      </c>
    </row>
    <row r="83" spans="1:16" x14ac:dyDescent="0.35">
      <c r="A83" s="287" t="s">
        <v>366</v>
      </c>
      <c r="B83" s="314">
        <f>'5-Year New Campus'!C186</f>
        <v>0</v>
      </c>
      <c r="C83" s="319"/>
      <c r="D83" s="318">
        <f t="shared" ref="D83:D99" si="54">SUM(E83:P83)</f>
        <v>0</v>
      </c>
      <c r="E83" s="317"/>
      <c r="F83" s="62">
        <v>0</v>
      </c>
      <c r="G83" s="62">
        <f>B83/10</f>
        <v>0</v>
      </c>
      <c r="H83" s="62">
        <f t="shared" ref="H83:P83" si="55">G83</f>
        <v>0</v>
      </c>
      <c r="I83" s="62">
        <f t="shared" si="55"/>
        <v>0</v>
      </c>
      <c r="J83" s="62">
        <f t="shared" si="55"/>
        <v>0</v>
      </c>
      <c r="K83" s="62">
        <f t="shared" si="55"/>
        <v>0</v>
      </c>
      <c r="L83" s="62">
        <f t="shared" si="55"/>
        <v>0</v>
      </c>
      <c r="M83" s="62">
        <f t="shared" si="55"/>
        <v>0</v>
      </c>
      <c r="N83" s="62">
        <f t="shared" si="55"/>
        <v>0</v>
      </c>
      <c r="O83" s="62">
        <f t="shared" si="55"/>
        <v>0</v>
      </c>
      <c r="P83" s="316">
        <f t="shared" si="55"/>
        <v>0</v>
      </c>
    </row>
    <row r="84" spans="1:16" x14ac:dyDescent="0.35">
      <c r="A84" s="321" t="s">
        <v>134</v>
      </c>
      <c r="B84" s="314">
        <f>'5-Year New Campus'!C189</f>
        <v>1750</v>
      </c>
      <c r="C84" s="319">
        <f t="shared" ref="C84:C92" si="56">D84-B84</f>
        <v>0</v>
      </c>
      <c r="D84" s="318">
        <f t="shared" si="54"/>
        <v>1749.9999999999998</v>
      </c>
      <c r="E84" s="317"/>
      <c r="F84" s="62">
        <f>B84/11</f>
        <v>159.09090909090909</v>
      </c>
      <c r="G84" s="62">
        <f t="shared" ref="G84:G97" si="57">F84</f>
        <v>159.09090909090909</v>
      </c>
      <c r="H84" s="62">
        <f t="shared" ref="H84:P84" si="58">G84</f>
        <v>159.09090909090909</v>
      </c>
      <c r="I84" s="62">
        <f t="shared" si="58"/>
        <v>159.09090909090909</v>
      </c>
      <c r="J84" s="62">
        <f t="shared" si="58"/>
        <v>159.09090909090909</v>
      </c>
      <c r="K84" s="62">
        <f t="shared" si="58"/>
        <v>159.09090909090909</v>
      </c>
      <c r="L84" s="62">
        <f t="shared" si="58"/>
        <v>159.09090909090909</v>
      </c>
      <c r="M84" s="62">
        <f t="shared" si="58"/>
        <v>159.09090909090909</v>
      </c>
      <c r="N84" s="62">
        <f t="shared" si="58"/>
        <v>159.09090909090909</v>
      </c>
      <c r="O84" s="62">
        <f t="shared" si="58"/>
        <v>159.09090909090909</v>
      </c>
      <c r="P84" s="316">
        <f t="shared" si="58"/>
        <v>159.09090909090909</v>
      </c>
    </row>
    <row r="85" spans="1:16" x14ac:dyDescent="0.35">
      <c r="A85" s="321" t="s">
        <v>137</v>
      </c>
      <c r="B85" s="314">
        <f>'5-Year New Campus'!C192</f>
        <v>30728.880000000001</v>
      </c>
      <c r="C85" s="319">
        <f t="shared" si="56"/>
        <v>0</v>
      </c>
      <c r="D85" s="318">
        <f t="shared" si="54"/>
        <v>30728.880000000001</v>
      </c>
      <c r="E85" s="317"/>
      <c r="F85" s="62">
        <f>B85/11</f>
        <v>2793.5345454545454</v>
      </c>
      <c r="G85" s="62">
        <f t="shared" si="57"/>
        <v>2793.5345454545454</v>
      </c>
      <c r="H85" s="62">
        <f t="shared" ref="H85:P85" si="59">G85</f>
        <v>2793.5345454545454</v>
      </c>
      <c r="I85" s="62">
        <f t="shared" si="59"/>
        <v>2793.5345454545454</v>
      </c>
      <c r="J85" s="62">
        <f t="shared" si="59"/>
        <v>2793.5345454545454</v>
      </c>
      <c r="K85" s="62">
        <f t="shared" si="59"/>
        <v>2793.5345454545454</v>
      </c>
      <c r="L85" s="62">
        <f t="shared" si="59"/>
        <v>2793.5345454545454</v>
      </c>
      <c r="M85" s="62">
        <f t="shared" si="59"/>
        <v>2793.5345454545454</v>
      </c>
      <c r="N85" s="62">
        <f t="shared" si="59"/>
        <v>2793.5345454545454</v>
      </c>
      <c r="O85" s="62">
        <f t="shared" si="59"/>
        <v>2793.5345454545454</v>
      </c>
      <c r="P85" s="316">
        <f t="shared" si="59"/>
        <v>2793.5345454545454</v>
      </c>
    </row>
    <row r="86" spans="1:16" x14ac:dyDescent="0.35">
      <c r="A86" s="321" t="s">
        <v>138</v>
      </c>
      <c r="B86" s="314">
        <f>'5-Year New Campus'!C193</f>
        <v>0</v>
      </c>
      <c r="C86" s="319">
        <f t="shared" si="56"/>
        <v>0</v>
      </c>
      <c r="D86" s="318">
        <f t="shared" si="54"/>
        <v>0</v>
      </c>
      <c r="E86" s="317"/>
      <c r="F86" s="62">
        <f>B86/11</f>
        <v>0</v>
      </c>
      <c r="G86" s="62">
        <f t="shared" si="57"/>
        <v>0</v>
      </c>
      <c r="H86" s="62">
        <f t="shared" ref="H86:P86" si="60">G86</f>
        <v>0</v>
      </c>
      <c r="I86" s="62">
        <f t="shared" si="60"/>
        <v>0</v>
      </c>
      <c r="J86" s="62">
        <f t="shared" si="60"/>
        <v>0</v>
      </c>
      <c r="K86" s="62">
        <f t="shared" si="60"/>
        <v>0</v>
      </c>
      <c r="L86" s="62">
        <f t="shared" si="60"/>
        <v>0</v>
      </c>
      <c r="M86" s="62">
        <f t="shared" si="60"/>
        <v>0</v>
      </c>
      <c r="N86" s="62">
        <f t="shared" si="60"/>
        <v>0</v>
      </c>
      <c r="O86" s="62">
        <f t="shared" si="60"/>
        <v>0</v>
      </c>
      <c r="P86" s="316">
        <f t="shared" si="60"/>
        <v>0</v>
      </c>
    </row>
    <row r="87" spans="1:16" x14ac:dyDescent="0.35">
      <c r="A87" s="321" t="s">
        <v>365</v>
      </c>
      <c r="B87" s="314">
        <f>'5-Year New Campus'!C194</f>
        <v>4368</v>
      </c>
      <c r="C87" s="319">
        <f t="shared" si="56"/>
        <v>0</v>
      </c>
      <c r="D87" s="318">
        <f t="shared" si="54"/>
        <v>4368</v>
      </c>
      <c r="E87" s="317"/>
      <c r="F87" s="62">
        <f>B87/11</f>
        <v>397.09090909090907</v>
      </c>
      <c r="G87" s="62">
        <f t="shared" si="57"/>
        <v>397.09090909090907</v>
      </c>
      <c r="H87" s="62">
        <f t="shared" ref="H87:P87" si="61">G87</f>
        <v>397.09090909090907</v>
      </c>
      <c r="I87" s="62">
        <f t="shared" si="61"/>
        <v>397.09090909090907</v>
      </c>
      <c r="J87" s="62">
        <f t="shared" si="61"/>
        <v>397.09090909090907</v>
      </c>
      <c r="K87" s="62">
        <f t="shared" si="61"/>
        <v>397.09090909090907</v>
      </c>
      <c r="L87" s="62">
        <f t="shared" si="61"/>
        <v>397.09090909090907</v>
      </c>
      <c r="M87" s="62">
        <f t="shared" si="61"/>
        <v>397.09090909090907</v>
      </c>
      <c r="N87" s="62">
        <f t="shared" si="61"/>
        <v>397.09090909090907</v>
      </c>
      <c r="O87" s="62">
        <f t="shared" si="61"/>
        <v>397.09090909090907</v>
      </c>
      <c r="P87" s="316">
        <f t="shared" si="61"/>
        <v>397.09090909090907</v>
      </c>
    </row>
    <row r="88" spans="1:16" x14ac:dyDescent="0.35">
      <c r="A88" s="321" t="s">
        <v>140</v>
      </c>
      <c r="B88" s="314">
        <f>'5-Year New Campus'!C195</f>
        <v>10884.016000000001</v>
      </c>
      <c r="C88" s="319">
        <f t="shared" si="56"/>
        <v>0</v>
      </c>
      <c r="D88" s="318">
        <f t="shared" si="54"/>
        <v>10884.016000000001</v>
      </c>
      <c r="E88" s="317"/>
      <c r="F88" s="62">
        <f>B88/11</f>
        <v>989.45600000000013</v>
      </c>
      <c r="G88" s="62">
        <f t="shared" si="57"/>
        <v>989.45600000000013</v>
      </c>
      <c r="H88" s="62">
        <f t="shared" ref="H88:P88" si="62">G88</f>
        <v>989.45600000000013</v>
      </c>
      <c r="I88" s="62">
        <f t="shared" si="62"/>
        <v>989.45600000000013</v>
      </c>
      <c r="J88" s="62">
        <f t="shared" si="62"/>
        <v>989.45600000000013</v>
      </c>
      <c r="K88" s="62">
        <f t="shared" si="62"/>
        <v>989.45600000000013</v>
      </c>
      <c r="L88" s="62">
        <f t="shared" si="62"/>
        <v>989.45600000000013</v>
      </c>
      <c r="M88" s="62">
        <f t="shared" si="62"/>
        <v>989.45600000000013</v>
      </c>
      <c r="N88" s="62">
        <f t="shared" si="62"/>
        <v>989.45600000000013</v>
      </c>
      <c r="O88" s="62">
        <f t="shared" si="62"/>
        <v>989.45600000000013</v>
      </c>
      <c r="P88" s="316">
        <f t="shared" si="62"/>
        <v>989.45600000000013</v>
      </c>
    </row>
    <row r="89" spans="1:16" x14ac:dyDescent="0.35">
      <c r="A89" s="321" t="s">
        <v>141</v>
      </c>
      <c r="B89" s="314">
        <f>'5-Year New Campus'!C196</f>
        <v>7210</v>
      </c>
      <c r="C89" s="319">
        <f t="shared" si="56"/>
        <v>0</v>
      </c>
      <c r="D89" s="318">
        <f t="shared" si="54"/>
        <v>7210</v>
      </c>
      <c r="E89" s="317">
        <v>4000</v>
      </c>
      <c r="F89" s="62"/>
      <c r="G89" s="62">
        <f t="shared" si="57"/>
        <v>0</v>
      </c>
      <c r="H89" s="62">
        <f t="shared" ref="H89:J97" si="63">G89</f>
        <v>0</v>
      </c>
      <c r="I89" s="62">
        <f t="shared" si="63"/>
        <v>0</v>
      </c>
      <c r="J89" s="62">
        <f t="shared" si="63"/>
        <v>0</v>
      </c>
      <c r="K89" s="62">
        <v>3210</v>
      </c>
      <c r="L89" s="62"/>
      <c r="M89" s="62"/>
      <c r="N89" s="62"/>
      <c r="O89" s="62"/>
      <c r="P89" s="316"/>
    </row>
    <row r="90" spans="1:16" x14ac:dyDescent="0.35">
      <c r="A90" s="321" t="s">
        <v>142</v>
      </c>
      <c r="B90" s="314">
        <f>'5-Year New Campus'!C197</f>
        <v>90450</v>
      </c>
      <c r="C90" s="319">
        <f t="shared" si="56"/>
        <v>0</v>
      </c>
      <c r="D90" s="318">
        <f t="shared" si="54"/>
        <v>90449.999999999971</v>
      </c>
      <c r="E90" s="317"/>
      <c r="F90" s="62">
        <f>B90/11</f>
        <v>8222.7272727272721</v>
      </c>
      <c r="G90" s="62">
        <f t="shared" si="57"/>
        <v>8222.7272727272721</v>
      </c>
      <c r="H90" s="62">
        <f t="shared" si="63"/>
        <v>8222.7272727272721</v>
      </c>
      <c r="I90" s="62">
        <f t="shared" si="63"/>
        <v>8222.7272727272721</v>
      </c>
      <c r="J90" s="62">
        <f t="shared" si="63"/>
        <v>8222.7272727272721</v>
      </c>
      <c r="K90" s="62">
        <f t="shared" ref="K90:P97" si="64">J90</f>
        <v>8222.7272727272721</v>
      </c>
      <c r="L90" s="62">
        <f t="shared" si="64"/>
        <v>8222.7272727272721</v>
      </c>
      <c r="M90" s="62">
        <f t="shared" si="64"/>
        <v>8222.7272727272721</v>
      </c>
      <c r="N90" s="62">
        <f t="shared" si="64"/>
        <v>8222.7272727272721</v>
      </c>
      <c r="O90" s="62">
        <f t="shared" si="64"/>
        <v>8222.7272727272721</v>
      </c>
      <c r="P90" s="316">
        <f t="shared" si="64"/>
        <v>8222.7272727272721</v>
      </c>
    </row>
    <row r="91" spans="1:16" x14ac:dyDescent="0.35">
      <c r="A91" s="321" t="s">
        <v>143</v>
      </c>
      <c r="B91" s="314">
        <f>'5-Year New Campus'!C198</f>
        <v>17408</v>
      </c>
      <c r="C91" s="319">
        <f t="shared" si="56"/>
        <v>0</v>
      </c>
      <c r="D91" s="318">
        <f t="shared" si="54"/>
        <v>17408</v>
      </c>
      <c r="E91" s="317">
        <f>5000</f>
        <v>5000</v>
      </c>
      <c r="F91" s="62">
        <f>(B91-E91)/11</f>
        <v>1128</v>
      </c>
      <c r="G91" s="62">
        <f t="shared" si="57"/>
        <v>1128</v>
      </c>
      <c r="H91" s="62">
        <f t="shared" si="63"/>
        <v>1128</v>
      </c>
      <c r="I91" s="62">
        <f t="shared" si="63"/>
        <v>1128</v>
      </c>
      <c r="J91" s="62">
        <f t="shared" si="63"/>
        <v>1128</v>
      </c>
      <c r="K91" s="62">
        <f t="shared" si="64"/>
        <v>1128</v>
      </c>
      <c r="L91" s="62">
        <f t="shared" si="64"/>
        <v>1128</v>
      </c>
      <c r="M91" s="62">
        <f t="shared" si="64"/>
        <v>1128</v>
      </c>
      <c r="N91" s="62">
        <f t="shared" si="64"/>
        <v>1128</v>
      </c>
      <c r="O91" s="62">
        <f t="shared" si="64"/>
        <v>1128</v>
      </c>
      <c r="P91" s="316">
        <f t="shared" si="64"/>
        <v>1128</v>
      </c>
    </row>
    <row r="92" spans="1:16" x14ac:dyDescent="0.35">
      <c r="A92" s="321" t="s">
        <v>145</v>
      </c>
      <c r="B92" s="314">
        <f>'5-Year New Campus'!C199</f>
        <v>21500</v>
      </c>
      <c r="C92" s="319">
        <f t="shared" si="56"/>
        <v>0</v>
      </c>
      <c r="D92" s="318">
        <f t="shared" si="54"/>
        <v>21500</v>
      </c>
      <c r="E92" s="317"/>
      <c r="F92" s="62">
        <f t="shared" ref="F92:F97" si="65">B92/11</f>
        <v>1954.5454545454545</v>
      </c>
      <c r="G92" s="62">
        <f t="shared" si="57"/>
        <v>1954.5454545454545</v>
      </c>
      <c r="H92" s="62">
        <f t="shared" si="63"/>
        <v>1954.5454545454545</v>
      </c>
      <c r="I92" s="62">
        <f t="shared" si="63"/>
        <v>1954.5454545454545</v>
      </c>
      <c r="J92" s="62">
        <f t="shared" si="63"/>
        <v>1954.5454545454545</v>
      </c>
      <c r="K92" s="62">
        <f t="shared" si="64"/>
        <v>1954.5454545454545</v>
      </c>
      <c r="L92" s="62">
        <f t="shared" si="64"/>
        <v>1954.5454545454545</v>
      </c>
      <c r="M92" s="62">
        <f t="shared" si="64"/>
        <v>1954.5454545454545</v>
      </c>
      <c r="N92" s="62">
        <f t="shared" si="64"/>
        <v>1954.5454545454545</v>
      </c>
      <c r="O92" s="62">
        <f t="shared" si="64"/>
        <v>1954.5454545454545</v>
      </c>
      <c r="P92" s="316">
        <f t="shared" si="64"/>
        <v>1954.5454545454545</v>
      </c>
    </row>
    <row r="93" spans="1:16" x14ac:dyDescent="0.35">
      <c r="A93" s="321" t="s">
        <v>364</v>
      </c>
      <c r="B93" s="314">
        <f>'5-Year New Campus'!C200</f>
        <v>10146.942000000001</v>
      </c>
      <c r="C93" s="319"/>
      <c r="D93" s="318">
        <f t="shared" si="54"/>
        <v>10146.942000000003</v>
      </c>
      <c r="E93" s="317"/>
      <c r="F93" s="62">
        <f t="shared" si="65"/>
        <v>922.44927272727284</v>
      </c>
      <c r="G93" s="62">
        <f t="shared" si="57"/>
        <v>922.44927272727284</v>
      </c>
      <c r="H93" s="62">
        <f t="shared" si="63"/>
        <v>922.44927272727284</v>
      </c>
      <c r="I93" s="62">
        <f t="shared" si="63"/>
        <v>922.44927272727284</v>
      </c>
      <c r="J93" s="62">
        <f t="shared" si="63"/>
        <v>922.44927272727284</v>
      </c>
      <c r="K93" s="62">
        <f t="shared" si="64"/>
        <v>922.44927272727284</v>
      </c>
      <c r="L93" s="62">
        <f t="shared" si="64"/>
        <v>922.44927272727284</v>
      </c>
      <c r="M93" s="62">
        <f t="shared" si="64"/>
        <v>922.44927272727284</v>
      </c>
      <c r="N93" s="62">
        <f t="shared" si="64"/>
        <v>922.44927272727284</v>
      </c>
      <c r="O93" s="62">
        <f t="shared" si="64"/>
        <v>922.44927272727284</v>
      </c>
      <c r="P93" s="316">
        <f t="shared" si="64"/>
        <v>922.44927272727284</v>
      </c>
    </row>
    <row r="94" spans="1:16" x14ac:dyDescent="0.35">
      <c r="A94" s="321" t="s">
        <v>146</v>
      </c>
      <c r="B94" s="314">
        <f>'5-Year New Campus'!C201</f>
        <v>10000</v>
      </c>
      <c r="C94" s="319">
        <f t="shared" ref="C94:C99" si="66">D94-B94</f>
        <v>0</v>
      </c>
      <c r="D94" s="318">
        <f t="shared" si="54"/>
        <v>10000.000000000002</v>
      </c>
      <c r="E94" s="317"/>
      <c r="F94" s="62">
        <f t="shared" si="65"/>
        <v>909.09090909090912</v>
      </c>
      <c r="G94" s="62">
        <f t="shared" si="57"/>
        <v>909.09090909090912</v>
      </c>
      <c r="H94" s="62">
        <f t="shared" si="63"/>
        <v>909.09090909090912</v>
      </c>
      <c r="I94" s="62">
        <f t="shared" si="63"/>
        <v>909.09090909090912</v>
      </c>
      <c r="J94" s="62">
        <f t="shared" si="63"/>
        <v>909.09090909090912</v>
      </c>
      <c r="K94" s="62">
        <f t="shared" si="64"/>
        <v>909.09090909090912</v>
      </c>
      <c r="L94" s="62">
        <f t="shared" si="64"/>
        <v>909.09090909090912</v>
      </c>
      <c r="M94" s="62">
        <f t="shared" si="64"/>
        <v>909.09090909090912</v>
      </c>
      <c r="N94" s="62">
        <f t="shared" si="64"/>
        <v>909.09090909090912</v>
      </c>
      <c r="O94" s="62">
        <f t="shared" si="64"/>
        <v>909.09090909090912</v>
      </c>
      <c r="P94" s="316">
        <f t="shared" si="64"/>
        <v>909.09090909090912</v>
      </c>
    </row>
    <row r="95" spans="1:16" x14ac:dyDescent="0.35">
      <c r="A95" s="321" t="s">
        <v>148</v>
      </c>
      <c r="B95" s="314">
        <f>'5-Year New Campus'!C202</f>
        <v>9708.7800000000007</v>
      </c>
      <c r="C95" s="319">
        <f t="shared" si="66"/>
        <v>0</v>
      </c>
      <c r="D95" s="318">
        <f t="shared" si="54"/>
        <v>9708.7800000000007</v>
      </c>
      <c r="E95" s="317"/>
      <c r="F95" s="62">
        <f t="shared" si="65"/>
        <v>882.61636363636364</v>
      </c>
      <c r="G95" s="62">
        <f t="shared" si="57"/>
        <v>882.61636363636364</v>
      </c>
      <c r="H95" s="62">
        <f t="shared" si="63"/>
        <v>882.61636363636364</v>
      </c>
      <c r="I95" s="62">
        <f t="shared" si="63"/>
        <v>882.61636363636364</v>
      </c>
      <c r="J95" s="62">
        <f t="shared" si="63"/>
        <v>882.61636363636364</v>
      </c>
      <c r="K95" s="62">
        <f t="shared" si="64"/>
        <v>882.61636363636364</v>
      </c>
      <c r="L95" s="62">
        <f t="shared" si="64"/>
        <v>882.61636363636364</v>
      </c>
      <c r="M95" s="62">
        <f t="shared" si="64"/>
        <v>882.61636363636364</v>
      </c>
      <c r="N95" s="62">
        <f t="shared" si="64"/>
        <v>882.61636363636364</v>
      </c>
      <c r="O95" s="62">
        <f t="shared" si="64"/>
        <v>882.61636363636364</v>
      </c>
      <c r="P95" s="316">
        <f t="shared" si="64"/>
        <v>882.61636363636364</v>
      </c>
    </row>
    <row r="96" spans="1:16" x14ac:dyDescent="0.35">
      <c r="A96" s="320" t="s">
        <v>363</v>
      </c>
      <c r="B96" s="314">
        <f>'5-Year New Campus'!C206</f>
        <v>0</v>
      </c>
      <c r="C96" s="319">
        <f t="shared" si="66"/>
        <v>0</v>
      </c>
      <c r="D96" s="318">
        <f t="shared" si="54"/>
        <v>0</v>
      </c>
      <c r="E96" s="317"/>
      <c r="F96" s="62">
        <f t="shared" si="65"/>
        <v>0</v>
      </c>
      <c r="G96" s="62">
        <f t="shared" si="57"/>
        <v>0</v>
      </c>
      <c r="H96" s="62">
        <f t="shared" si="63"/>
        <v>0</v>
      </c>
      <c r="I96" s="62">
        <f t="shared" si="63"/>
        <v>0</v>
      </c>
      <c r="J96" s="62">
        <f t="shared" si="63"/>
        <v>0</v>
      </c>
      <c r="K96" s="62">
        <f t="shared" si="64"/>
        <v>0</v>
      </c>
      <c r="L96" s="62">
        <f t="shared" si="64"/>
        <v>0</v>
      </c>
      <c r="M96" s="62">
        <f t="shared" si="64"/>
        <v>0</v>
      </c>
      <c r="N96" s="62">
        <f t="shared" si="64"/>
        <v>0</v>
      </c>
      <c r="O96" s="62">
        <f t="shared" si="64"/>
        <v>0</v>
      </c>
      <c r="P96" s="316">
        <f t="shared" si="64"/>
        <v>0</v>
      </c>
    </row>
    <row r="97" spans="1:17" x14ac:dyDescent="0.35">
      <c r="A97" s="320" t="s">
        <v>151</v>
      </c>
      <c r="B97" s="314">
        <f>'5-Year New Campus'!C207</f>
        <v>600000</v>
      </c>
      <c r="C97" s="319">
        <f t="shared" si="66"/>
        <v>0</v>
      </c>
      <c r="D97" s="318">
        <f t="shared" si="54"/>
        <v>600000</v>
      </c>
      <c r="E97" s="317"/>
      <c r="F97" s="62">
        <f t="shared" si="65"/>
        <v>54545.454545454544</v>
      </c>
      <c r="G97" s="62">
        <f t="shared" si="57"/>
        <v>54545.454545454544</v>
      </c>
      <c r="H97" s="62">
        <f t="shared" si="63"/>
        <v>54545.454545454544</v>
      </c>
      <c r="I97" s="62">
        <f t="shared" si="63"/>
        <v>54545.454545454544</v>
      </c>
      <c r="J97" s="62">
        <f t="shared" si="63"/>
        <v>54545.454545454544</v>
      </c>
      <c r="K97" s="62">
        <f t="shared" si="64"/>
        <v>54545.454545454544</v>
      </c>
      <c r="L97" s="62">
        <f t="shared" si="64"/>
        <v>54545.454545454544</v>
      </c>
      <c r="M97" s="62">
        <f t="shared" si="64"/>
        <v>54545.454545454544</v>
      </c>
      <c r="N97" s="62">
        <f t="shared" si="64"/>
        <v>54545.454545454544</v>
      </c>
      <c r="O97" s="62">
        <f t="shared" si="64"/>
        <v>54545.454545454544</v>
      </c>
      <c r="P97" s="316">
        <f t="shared" si="64"/>
        <v>54545.454545454544</v>
      </c>
    </row>
    <row r="98" spans="1:17" x14ac:dyDescent="0.35">
      <c r="A98" s="320" t="s">
        <v>152</v>
      </c>
      <c r="B98" s="314">
        <f>'5-Year New Campus'!C208</f>
        <v>0</v>
      </c>
      <c r="C98" s="319">
        <f t="shared" si="66"/>
        <v>0</v>
      </c>
      <c r="D98" s="318">
        <f t="shared" si="54"/>
        <v>0</v>
      </c>
      <c r="E98" s="317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316"/>
    </row>
    <row r="99" spans="1:17" ht="15" thickBot="1" x14ac:dyDescent="0.4">
      <c r="A99" s="315" t="s">
        <v>362</v>
      </c>
      <c r="B99" s="314">
        <v>0</v>
      </c>
      <c r="C99" s="313">
        <f t="shared" si="66"/>
        <v>0</v>
      </c>
      <c r="D99" s="312">
        <f t="shared" si="54"/>
        <v>0</v>
      </c>
      <c r="E99" s="311"/>
      <c r="F99" s="46"/>
      <c r="G99" s="46"/>
      <c r="H99" s="46"/>
      <c r="I99" s="46"/>
      <c r="J99" s="46"/>
      <c r="K99" s="46">
        <f>B99/2</f>
        <v>0</v>
      </c>
      <c r="L99" s="46"/>
      <c r="M99" s="46"/>
      <c r="N99" s="46"/>
      <c r="O99" s="46"/>
      <c r="P99" s="310">
        <f>B99/2</f>
        <v>0</v>
      </c>
    </row>
    <row r="100" spans="1:17" ht="15" thickBot="1" x14ac:dyDescent="0.4">
      <c r="A100" s="309" t="s">
        <v>361</v>
      </c>
      <c r="B100" s="308">
        <f t="shared" ref="B100:P100" si="67">SUM(B19:B99)</f>
        <v>4067878.0041819979</v>
      </c>
      <c r="C100" s="308">
        <f t="shared" si="67"/>
        <v>-162458.47784066669</v>
      </c>
      <c r="D100" s="308">
        <f t="shared" si="67"/>
        <v>3905419.5263413312</v>
      </c>
      <c r="E100" s="308">
        <f t="shared" si="67"/>
        <v>118410.54458399999</v>
      </c>
      <c r="F100" s="308">
        <f t="shared" si="67"/>
        <v>347955.28015975753</v>
      </c>
      <c r="G100" s="308">
        <f t="shared" si="67"/>
        <v>362483.53515975754</v>
      </c>
      <c r="H100" s="308">
        <f t="shared" si="67"/>
        <v>331079.28015975753</v>
      </c>
      <c r="I100" s="308">
        <f t="shared" si="67"/>
        <v>340641.78015975753</v>
      </c>
      <c r="J100" s="308">
        <f t="shared" si="67"/>
        <v>342931.15515975753</v>
      </c>
      <c r="K100" s="308">
        <f t="shared" si="67"/>
        <v>356586.55015975755</v>
      </c>
      <c r="L100" s="308">
        <f t="shared" si="67"/>
        <v>340391.78015975753</v>
      </c>
      <c r="M100" s="308">
        <f t="shared" si="67"/>
        <v>340391.78015975753</v>
      </c>
      <c r="N100" s="308">
        <f t="shared" si="67"/>
        <v>340391.78015975753</v>
      </c>
      <c r="O100" s="308">
        <f t="shared" si="67"/>
        <v>340391.78015975753</v>
      </c>
      <c r="P100" s="307">
        <f t="shared" si="67"/>
        <v>343764.28015975753</v>
      </c>
      <c r="Q100" s="306"/>
    </row>
    <row r="101" spans="1:17" x14ac:dyDescent="0.35">
      <c r="D101" s="305" t="s">
        <v>360</v>
      </c>
      <c r="E101" s="304">
        <f t="shared" ref="E101:P101" si="68">E16-E100</f>
        <v>208669.45541600001</v>
      </c>
      <c r="F101" s="304">
        <f t="shared" si="68"/>
        <v>-20875.280159757531</v>
      </c>
      <c r="G101" s="304">
        <f t="shared" si="68"/>
        <v>-16553.935159757559</v>
      </c>
      <c r="H101" s="304">
        <f t="shared" si="68"/>
        <v>14850.319840242446</v>
      </c>
      <c r="I101" s="304">
        <f t="shared" si="68"/>
        <v>5287.8198402424459</v>
      </c>
      <c r="J101" s="304">
        <f t="shared" si="68"/>
        <v>2998.4448402424459</v>
      </c>
      <c r="K101" s="304">
        <f t="shared" si="68"/>
        <v>-10656.950159757573</v>
      </c>
      <c r="L101" s="304">
        <f t="shared" si="68"/>
        <v>93393.819840242446</v>
      </c>
      <c r="M101" s="304">
        <f t="shared" si="68"/>
        <v>5537.8198402424459</v>
      </c>
      <c r="N101" s="304">
        <f t="shared" si="68"/>
        <v>5537.8198402424459</v>
      </c>
      <c r="O101" s="304">
        <f t="shared" si="68"/>
        <v>5537.8198402424459</v>
      </c>
      <c r="P101" s="304">
        <f t="shared" si="68"/>
        <v>2165.3198402424459</v>
      </c>
      <c r="Q101" s="303"/>
    </row>
    <row r="102" spans="1:17" ht="15" thickBot="1" x14ac:dyDescent="0.4">
      <c r="C102"/>
      <c r="D102" s="302" t="s">
        <v>359</v>
      </c>
      <c r="E102" s="301">
        <f>E101</f>
        <v>208669.45541600001</v>
      </c>
      <c r="F102" s="301">
        <f t="shared" ref="F102:P102" si="69">E102+F101</f>
        <v>187794.17525624248</v>
      </c>
      <c r="G102" s="301">
        <f t="shared" si="69"/>
        <v>171240.24009648492</v>
      </c>
      <c r="H102" s="301">
        <f t="shared" si="69"/>
        <v>186090.55993672737</v>
      </c>
      <c r="I102" s="301">
        <f t="shared" si="69"/>
        <v>191378.37977696981</v>
      </c>
      <c r="J102" s="301">
        <f t="shared" si="69"/>
        <v>194376.82461721226</v>
      </c>
      <c r="K102" s="301">
        <f t="shared" si="69"/>
        <v>183719.87445745469</v>
      </c>
      <c r="L102" s="301">
        <f t="shared" si="69"/>
        <v>277113.69429769716</v>
      </c>
      <c r="M102" s="301">
        <f t="shared" si="69"/>
        <v>282651.51413793961</v>
      </c>
      <c r="N102" s="301">
        <f t="shared" si="69"/>
        <v>288189.33397818205</v>
      </c>
      <c r="O102" s="301">
        <f t="shared" si="69"/>
        <v>293727.1538184245</v>
      </c>
      <c r="P102" s="301">
        <f t="shared" si="69"/>
        <v>295892.47365866695</v>
      </c>
      <c r="Q102" s="300"/>
    </row>
    <row r="103" spans="1:17" ht="15" thickTop="1" x14ac:dyDescent="0.35"/>
    <row r="104" spans="1:17" ht="15.5" x14ac:dyDescent="0.35">
      <c r="A104" s="299" t="s">
        <v>358</v>
      </c>
    </row>
    <row r="105" spans="1:17" x14ac:dyDescent="0.35">
      <c r="P105" s="298">
        <f>P102+C100</f>
        <v>133433.99581800026</v>
      </c>
    </row>
    <row r="106" spans="1:17" x14ac:dyDescent="0.35">
      <c r="P106" s="298">
        <f>P105-'5-Year New Campus'!C218</f>
        <v>0</v>
      </c>
    </row>
  </sheetData>
  <pageMargins left="0.7" right="0.7" top="0.75" bottom="0.75" header="0.3" footer="0.3"/>
  <pageSetup scale="46" orientation="landscape" r:id="rId1"/>
  <rowBreaks count="1" manualBreakCount="1">
    <brk id="60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="75" zoomScaleNormal="75" workbookViewId="0">
      <selection activeCell="D11" sqref="A11:D14"/>
    </sheetView>
  </sheetViews>
  <sheetFormatPr defaultRowHeight="14.5" x14ac:dyDescent="0.35"/>
  <cols>
    <col min="1" max="1" width="48.6328125" customWidth="1"/>
    <col min="2" max="2" width="15.81640625" style="109" bestFit="1" customWidth="1"/>
    <col min="3" max="3" width="13.81640625" style="109" customWidth="1"/>
    <col min="4" max="4" width="19" style="109" customWidth="1"/>
    <col min="5" max="16" width="13.81640625" style="109" customWidth="1"/>
  </cols>
  <sheetData>
    <row r="1" spans="1:16" x14ac:dyDescent="0.35">
      <c r="A1" s="174" t="str">
        <f>'5-Year DANN System'!A1</f>
        <v>DANN System</v>
      </c>
      <c r="B1" s="174" t="str">
        <f>'5-Year New Campus'!C1</f>
        <v>FY24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thickBot="1" x14ac:dyDescent="0.4">
      <c r="A2" s="349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x14ac:dyDescent="0.35">
      <c r="A3" s="334" t="s">
        <v>393</v>
      </c>
      <c r="B3" s="333" t="s">
        <v>385</v>
      </c>
      <c r="C3" s="347" t="s">
        <v>384</v>
      </c>
      <c r="D3" s="332" t="s">
        <v>197</v>
      </c>
      <c r="E3" s="347" t="s">
        <v>383</v>
      </c>
      <c r="F3" s="346" t="s">
        <v>382</v>
      </c>
      <c r="G3" s="346" t="s">
        <v>381</v>
      </c>
      <c r="H3" s="346" t="s">
        <v>380</v>
      </c>
      <c r="I3" s="346" t="s">
        <v>379</v>
      </c>
      <c r="J3" s="346" t="s">
        <v>378</v>
      </c>
      <c r="K3" s="346" t="s">
        <v>377</v>
      </c>
      <c r="L3" s="346" t="s">
        <v>376</v>
      </c>
      <c r="M3" s="346" t="s">
        <v>375</v>
      </c>
      <c r="N3" s="346" t="s">
        <v>374</v>
      </c>
      <c r="O3" s="346" t="s">
        <v>373</v>
      </c>
      <c r="P3" s="345" t="s">
        <v>372</v>
      </c>
    </row>
    <row r="4" spans="1:16" x14ac:dyDescent="0.35">
      <c r="A4" s="344" t="s">
        <v>392</v>
      </c>
      <c r="B4" s="314">
        <f>'5-Year DANN System'!C75</f>
        <v>11111100</v>
      </c>
      <c r="C4" s="319">
        <f>D4-B4</f>
        <v>0</v>
      </c>
      <c r="D4" s="318">
        <f>SUM(E4:P4)</f>
        <v>11111100</v>
      </c>
      <c r="E4" s="317">
        <f>B4/12</f>
        <v>925925</v>
      </c>
      <c r="F4" s="62">
        <f t="shared" ref="F4:P4" si="0">E4</f>
        <v>925925</v>
      </c>
      <c r="G4" s="62">
        <f t="shared" si="0"/>
        <v>925925</v>
      </c>
      <c r="H4" s="62">
        <f t="shared" si="0"/>
        <v>925925</v>
      </c>
      <c r="I4" s="62">
        <f t="shared" si="0"/>
        <v>925925</v>
      </c>
      <c r="J4" s="62">
        <f t="shared" si="0"/>
        <v>925925</v>
      </c>
      <c r="K4" s="62">
        <f t="shared" si="0"/>
        <v>925925</v>
      </c>
      <c r="L4" s="62">
        <f t="shared" si="0"/>
        <v>925925</v>
      </c>
      <c r="M4" s="62">
        <f t="shared" si="0"/>
        <v>925925</v>
      </c>
      <c r="N4" s="62">
        <f t="shared" si="0"/>
        <v>925925</v>
      </c>
      <c r="O4" s="62">
        <f t="shared" si="0"/>
        <v>925925</v>
      </c>
      <c r="P4" s="316">
        <f t="shared" si="0"/>
        <v>925925</v>
      </c>
    </row>
    <row r="5" spans="1:16" x14ac:dyDescent="0.35">
      <c r="A5" s="343" t="s">
        <v>229</v>
      </c>
      <c r="B5" s="314">
        <f>'5-Year DANN System'!C76</f>
        <v>74124</v>
      </c>
      <c r="C5" s="319"/>
      <c r="D5" s="318"/>
      <c r="E5" s="317">
        <f>B5/12</f>
        <v>6177</v>
      </c>
      <c r="F5" s="62">
        <f t="shared" ref="F5:P5" si="1">E5</f>
        <v>6177</v>
      </c>
      <c r="G5" s="62">
        <f t="shared" si="1"/>
        <v>6177</v>
      </c>
      <c r="H5" s="62">
        <f t="shared" si="1"/>
        <v>6177</v>
      </c>
      <c r="I5" s="62">
        <f t="shared" si="1"/>
        <v>6177</v>
      </c>
      <c r="J5" s="62">
        <f t="shared" si="1"/>
        <v>6177</v>
      </c>
      <c r="K5" s="62">
        <f t="shared" si="1"/>
        <v>6177</v>
      </c>
      <c r="L5" s="62">
        <f t="shared" si="1"/>
        <v>6177</v>
      </c>
      <c r="M5" s="62">
        <f t="shared" si="1"/>
        <v>6177</v>
      </c>
      <c r="N5" s="62">
        <f t="shared" si="1"/>
        <v>6177</v>
      </c>
      <c r="O5" s="62">
        <f t="shared" si="1"/>
        <v>6177</v>
      </c>
      <c r="P5" s="316">
        <f t="shared" si="1"/>
        <v>6177</v>
      </c>
    </row>
    <row r="6" spans="1:16" x14ac:dyDescent="0.35">
      <c r="A6" s="343" t="s">
        <v>53</v>
      </c>
      <c r="B6" s="314">
        <f>'5-Year DANN System'!C77</f>
        <v>251244.00000000006</v>
      </c>
      <c r="C6" s="319">
        <f>D6-B6</f>
        <v>0</v>
      </c>
      <c r="D6" s="318">
        <f t="shared" ref="D6:D17" si="2">SUM(E6:P6)</f>
        <v>251244</v>
      </c>
      <c r="E6" s="317"/>
      <c r="F6" s="62"/>
      <c r="G6" s="62">
        <f>B6/10</f>
        <v>25124.400000000005</v>
      </c>
      <c r="H6" s="62">
        <f>B6/10</f>
        <v>25124.400000000005</v>
      </c>
      <c r="I6" s="62">
        <f>B6/10</f>
        <v>25124.400000000005</v>
      </c>
      <c r="J6" s="62">
        <f>B6/10</f>
        <v>25124.400000000005</v>
      </c>
      <c r="K6" s="62">
        <f>B6/10</f>
        <v>25124.400000000005</v>
      </c>
      <c r="L6" s="62">
        <f>B6/10</f>
        <v>25124.400000000005</v>
      </c>
      <c r="M6" s="62">
        <f>B6/10</f>
        <v>25124.400000000005</v>
      </c>
      <c r="N6" s="62">
        <f>B6/10</f>
        <v>25124.400000000005</v>
      </c>
      <c r="O6" s="62">
        <f>B6/10</f>
        <v>25124.400000000005</v>
      </c>
      <c r="P6" s="316">
        <f>B6/10</f>
        <v>25124.400000000005</v>
      </c>
    </row>
    <row r="7" spans="1:16" x14ac:dyDescent="0.35">
      <c r="A7" s="343" t="s">
        <v>54</v>
      </c>
      <c r="B7" s="314">
        <f>'5-Year DANN System'!C78</f>
        <v>190456</v>
      </c>
      <c r="C7" s="319">
        <f>D7-B7</f>
        <v>0</v>
      </c>
      <c r="D7" s="318">
        <f t="shared" si="2"/>
        <v>190456.00000000003</v>
      </c>
      <c r="E7" s="317"/>
      <c r="F7" s="62"/>
      <c r="G7" s="62">
        <f t="shared" ref="G7:G8" si="3">B7/10</f>
        <v>19045.599999999999</v>
      </c>
      <c r="H7" s="62">
        <f t="shared" ref="H7:H8" si="4">B7/10</f>
        <v>19045.599999999999</v>
      </c>
      <c r="I7" s="62">
        <f t="shared" ref="I7:I8" si="5">B7/10</f>
        <v>19045.599999999999</v>
      </c>
      <c r="J7" s="62">
        <f t="shared" ref="J7:J8" si="6">B7/10</f>
        <v>19045.599999999999</v>
      </c>
      <c r="K7" s="62">
        <f t="shared" ref="K7:K8" si="7">B7/10</f>
        <v>19045.599999999999</v>
      </c>
      <c r="L7" s="62">
        <f t="shared" ref="L7:L8" si="8">B7/10</f>
        <v>19045.599999999999</v>
      </c>
      <c r="M7" s="62">
        <f t="shared" ref="M7:M8" si="9">B7/10</f>
        <v>19045.599999999999</v>
      </c>
      <c r="N7" s="62">
        <f t="shared" ref="N7:N8" si="10">B7/10</f>
        <v>19045.599999999999</v>
      </c>
      <c r="O7" s="62">
        <f t="shared" ref="O7:O8" si="11">B7/10</f>
        <v>19045.599999999999</v>
      </c>
      <c r="P7" s="316">
        <f t="shared" ref="P7:P8" si="12">B7/10</f>
        <v>19045.599999999999</v>
      </c>
    </row>
    <row r="8" spans="1:16" x14ac:dyDescent="0.35">
      <c r="A8" s="287" t="s">
        <v>212</v>
      </c>
      <c r="B8" s="314">
        <f>'5-Year DANN System'!C79</f>
        <v>280800</v>
      </c>
      <c r="C8" s="319">
        <f>D8-B8</f>
        <v>0</v>
      </c>
      <c r="D8" s="318">
        <f t="shared" si="2"/>
        <v>280800</v>
      </c>
      <c r="E8" s="317"/>
      <c r="F8" s="322"/>
      <c r="G8" s="62">
        <f t="shared" si="3"/>
        <v>28080</v>
      </c>
      <c r="H8" s="62">
        <f t="shared" si="4"/>
        <v>28080</v>
      </c>
      <c r="I8" s="62">
        <f t="shared" si="5"/>
        <v>28080</v>
      </c>
      <c r="J8" s="62">
        <f t="shared" si="6"/>
        <v>28080</v>
      </c>
      <c r="K8" s="62">
        <f t="shared" si="7"/>
        <v>28080</v>
      </c>
      <c r="L8" s="62">
        <f t="shared" si="8"/>
        <v>28080</v>
      </c>
      <c r="M8" s="62">
        <f t="shared" si="9"/>
        <v>28080</v>
      </c>
      <c r="N8" s="62">
        <f t="shared" si="10"/>
        <v>28080</v>
      </c>
      <c r="O8" s="62">
        <f t="shared" si="11"/>
        <v>28080</v>
      </c>
      <c r="P8" s="316">
        <f t="shared" si="12"/>
        <v>28080</v>
      </c>
    </row>
    <row r="9" spans="1:16" x14ac:dyDescent="0.35">
      <c r="A9" s="287" t="s">
        <v>391</v>
      </c>
      <c r="B9" s="314">
        <v>0</v>
      </c>
      <c r="C9" s="319"/>
      <c r="D9" s="318">
        <f t="shared" si="2"/>
        <v>0</v>
      </c>
      <c r="E9" s="317"/>
      <c r="F9" s="322"/>
      <c r="G9" s="62"/>
      <c r="H9" s="62"/>
      <c r="I9" s="62"/>
      <c r="J9" s="62"/>
      <c r="K9" s="62"/>
      <c r="L9" s="62">
        <f>B9*0.75</f>
        <v>0</v>
      </c>
      <c r="M9" s="62"/>
      <c r="N9" s="62"/>
      <c r="O9" s="62">
        <f>B9*0.25</f>
        <v>0</v>
      </c>
      <c r="P9" s="316"/>
    </row>
    <row r="10" spans="1:16" x14ac:dyDescent="0.35">
      <c r="A10" s="287" t="s">
        <v>390</v>
      </c>
      <c r="B10" s="314">
        <v>0</v>
      </c>
      <c r="C10" s="319"/>
      <c r="D10" s="318">
        <f t="shared" si="2"/>
        <v>0</v>
      </c>
      <c r="E10" s="317"/>
      <c r="F10" s="322"/>
      <c r="G10" s="62"/>
      <c r="H10" s="62"/>
      <c r="I10" s="62"/>
      <c r="J10" s="62"/>
      <c r="K10" s="62"/>
      <c r="L10" s="62">
        <f>B10*0.75</f>
        <v>0</v>
      </c>
      <c r="M10" s="62"/>
      <c r="N10" s="62"/>
      <c r="O10" s="62">
        <f>B10*0.25</f>
        <v>0</v>
      </c>
      <c r="P10" s="316"/>
    </row>
    <row r="11" spans="1:16" x14ac:dyDescent="0.35">
      <c r="A11" s="343" t="s">
        <v>389</v>
      </c>
      <c r="B11" s="314">
        <f>'5-Year DANN System'!C80</f>
        <v>5007</v>
      </c>
      <c r="C11" s="319"/>
      <c r="D11" s="318">
        <f t="shared" si="2"/>
        <v>5007</v>
      </c>
      <c r="E11" s="317">
        <f>B11/12</f>
        <v>417.25</v>
      </c>
      <c r="F11" s="62">
        <f t="shared" ref="F11:P11" si="13">E11</f>
        <v>417.25</v>
      </c>
      <c r="G11" s="62">
        <f t="shared" si="13"/>
        <v>417.25</v>
      </c>
      <c r="H11" s="62">
        <f t="shared" si="13"/>
        <v>417.25</v>
      </c>
      <c r="I11" s="62">
        <f t="shared" si="13"/>
        <v>417.25</v>
      </c>
      <c r="J11" s="62">
        <f t="shared" si="13"/>
        <v>417.25</v>
      </c>
      <c r="K11" s="62">
        <f t="shared" si="13"/>
        <v>417.25</v>
      </c>
      <c r="L11" s="62">
        <f t="shared" si="13"/>
        <v>417.25</v>
      </c>
      <c r="M11" s="62">
        <f t="shared" si="13"/>
        <v>417.25</v>
      </c>
      <c r="N11" s="62">
        <f t="shared" si="13"/>
        <v>417.25</v>
      </c>
      <c r="O11" s="62">
        <f t="shared" si="13"/>
        <v>417.25</v>
      </c>
      <c r="P11" s="316">
        <f t="shared" si="13"/>
        <v>417.25</v>
      </c>
    </row>
    <row r="12" spans="1:16" x14ac:dyDescent="0.35">
      <c r="A12" s="343" t="s">
        <v>214</v>
      </c>
      <c r="B12" s="314">
        <f>'5-Year DANN System'!C81</f>
        <v>45686</v>
      </c>
      <c r="C12" s="319">
        <f>D12-B12</f>
        <v>0</v>
      </c>
      <c r="D12" s="318">
        <f t="shared" si="2"/>
        <v>45685.999999999993</v>
      </c>
      <c r="E12" s="317">
        <f>B12/12</f>
        <v>3807.1666666666665</v>
      </c>
      <c r="F12" s="62">
        <f t="shared" ref="F12:P12" si="14">E12</f>
        <v>3807.1666666666665</v>
      </c>
      <c r="G12" s="62">
        <f t="shared" si="14"/>
        <v>3807.1666666666665</v>
      </c>
      <c r="H12" s="62">
        <f t="shared" si="14"/>
        <v>3807.1666666666665</v>
      </c>
      <c r="I12" s="62">
        <f t="shared" si="14"/>
        <v>3807.1666666666665</v>
      </c>
      <c r="J12" s="62">
        <f t="shared" si="14"/>
        <v>3807.1666666666665</v>
      </c>
      <c r="K12" s="62">
        <f t="shared" si="14"/>
        <v>3807.1666666666665</v>
      </c>
      <c r="L12" s="62">
        <f t="shared" si="14"/>
        <v>3807.1666666666665</v>
      </c>
      <c r="M12" s="62">
        <f t="shared" si="14"/>
        <v>3807.1666666666665</v>
      </c>
      <c r="N12" s="62">
        <f t="shared" si="14"/>
        <v>3807.1666666666665</v>
      </c>
      <c r="O12" s="62">
        <f t="shared" si="14"/>
        <v>3807.1666666666665</v>
      </c>
      <c r="P12" s="316">
        <f t="shared" si="14"/>
        <v>3807.1666666666665</v>
      </c>
    </row>
    <row r="13" spans="1:16" x14ac:dyDescent="0.35">
      <c r="A13" s="343" t="s">
        <v>215</v>
      </c>
      <c r="B13" s="314">
        <f>'5-Year DANN System'!C82</f>
        <v>13585</v>
      </c>
      <c r="C13" s="319"/>
      <c r="D13" s="318">
        <f t="shared" si="2"/>
        <v>13585.000000000002</v>
      </c>
      <c r="E13" s="317">
        <f>B13/12</f>
        <v>1132.0833333333333</v>
      </c>
      <c r="F13" s="62">
        <f t="shared" ref="F13:P13" si="15">E13</f>
        <v>1132.0833333333333</v>
      </c>
      <c r="G13" s="62">
        <f t="shared" si="15"/>
        <v>1132.0833333333333</v>
      </c>
      <c r="H13" s="62">
        <f t="shared" si="15"/>
        <v>1132.0833333333333</v>
      </c>
      <c r="I13" s="62">
        <f t="shared" si="15"/>
        <v>1132.0833333333333</v>
      </c>
      <c r="J13" s="62">
        <f t="shared" si="15"/>
        <v>1132.0833333333333</v>
      </c>
      <c r="K13" s="62">
        <f t="shared" si="15"/>
        <v>1132.0833333333333</v>
      </c>
      <c r="L13" s="62">
        <f t="shared" si="15"/>
        <v>1132.0833333333333</v>
      </c>
      <c r="M13" s="62">
        <f t="shared" si="15"/>
        <v>1132.0833333333333</v>
      </c>
      <c r="N13" s="62">
        <f t="shared" si="15"/>
        <v>1132.0833333333333</v>
      </c>
      <c r="O13" s="62">
        <f t="shared" si="15"/>
        <v>1132.0833333333333</v>
      </c>
      <c r="P13" s="316">
        <f t="shared" si="15"/>
        <v>1132.0833333333333</v>
      </c>
    </row>
    <row r="14" spans="1:16" x14ac:dyDescent="0.35">
      <c r="A14" s="287" t="s">
        <v>388</v>
      </c>
      <c r="B14" s="314">
        <f>'5-Year DANN System'!C84</f>
        <v>0</v>
      </c>
      <c r="C14" s="319">
        <f>D14-B14</f>
        <v>0</v>
      </c>
      <c r="D14" s="318">
        <f t="shared" si="2"/>
        <v>0</v>
      </c>
      <c r="E14" s="317"/>
      <c r="F14" s="62"/>
      <c r="G14" s="62"/>
      <c r="H14" s="62">
        <f>B14/9</f>
        <v>0</v>
      </c>
      <c r="I14" s="62">
        <f t="shared" ref="I14:P14" si="16">H14</f>
        <v>0</v>
      </c>
      <c r="J14" s="62">
        <f t="shared" si="16"/>
        <v>0</v>
      </c>
      <c r="K14" s="62">
        <f t="shared" si="16"/>
        <v>0</v>
      </c>
      <c r="L14" s="62">
        <f t="shared" si="16"/>
        <v>0</v>
      </c>
      <c r="M14" s="62">
        <f t="shared" si="16"/>
        <v>0</v>
      </c>
      <c r="N14" s="62">
        <f t="shared" si="16"/>
        <v>0</v>
      </c>
      <c r="O14" s="62">
        <f t="shared" si="16"/>
        <v>0</v>
      </c>
      <c r="P14" s="316">
        <f t="shared" si="16"/>
        <v>0</v>
      </c>
    </row>
    <row r="15" spans="1:16" x14ac:dyDescent="0.35">
      <c r="A15" s="335" t="s">
        <v>387</v>
      </c>
      <c r="B15" s="314">
        <f>'5-Year DANN System'!C85</f>
        <v>0</v>
      </c>
      <c r="C15" s="319">
        <f>D15-B15</f>
        <v>0</v>
      </c>
      <c r="D15" s="318">
        <f t="shared" si="2"/>
        <v>0</v>
      </c>
      <c r="E15" s="317"/>
      <c r="F15" s="62">
        <f>B15/2</f>
        <v>0</v>
      </c>
      <c r="G15" s="62"/>
      <c r="H15" s="62"/>
      <c r="I15" s="62"/>
      <c r="J15" s="62"/>
      <c r="K15" s="62">
        <f>F15</f>
        <v>0</v>
      </c>
      <c r="L15" s="62"/>
      <c r="M15" s="62">
        <f>J15</f>
        <v>0</v>
      </c>
      <c r="N15" s="62"/>
      <c r="O15" s="62"/>
      <c r="P15" s="316">
        <f>M15</f>
        <v>0</v>
      </c>
    </row>
    <row r="16" spans="1:16" x14ac:dyDescent="0.35">
      <c r="A16" s="335" t="s">
        <v>386</v>
      </c>
      <c r="B16" s="314">
        <f>'5-Year DANN System'!C86</f>
        <v>0</v>
      </c>
      <c r="C16" s="342"/>
      <c r="D16" s="318">
        <f t="shared" si="2"/>
        <v>0</v>
      </c>
      <c r="E16" s="31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10"/>
    </row>
    <row r="17" spans="1:16" ht="15" thickBot="1" x14ac:dyDescent="0.4">
      <c r="A17" s="341" t="s">
        <v>57</v>
      </c>
      <c r="B17" s="340">
        <f>SUM(B4:B15)</f>
        <v>11972002</v>
      </c>
      <c r="C17" s="338">
        <f>SUM(C4:C15)</f>
        <v>0</v>
      </c>
      <c r="D17" s="339">
        <f t="shared" si="2"/>
        <v>11972002</v>
      </c>
      <c r="E17" s="338">
        <f t="shared" ref="E17:P17" si="17">SUM(E4:E15)</f>
        <v>937458.5</v>
      </c>
      <c r="F17" s="337">
        <f t="shared" si="17"/>
        <v>937458.5</v>
      </c>
      <c r="G17" s="337">
        <f t="shared" si="17"/>
        <v>1009708.5</v>
      </c>
      <c r="H17" s="337">
        <f t="shared" si="17"/>
        <v>1009708.5</v>
      </c>
      <c r="I17" s="337">
        <f t="shared" si="17"/>
        <v>1009708.5</v>
      </c>
      <c r="J17" s="337">
        <f t="shared" si="17"/>
        <v>1009708.5</v>
      </c>
      <c r="K17" s="337">
        <f t="shared" si="17"/>
        <v>1009708.5</v>
      </c>
      <c r="L17" s="337">
        <f t="shared" si="17"/>
        <v>1009708.5</v>
      </c>
      <c r="M17" s="337">
        <f t="shared" si="17"/>
        <v>1009708.5</v>
      </c>
      <c r="N17" s="337">
        <f t="shared" si="17"/>
        <v>1009708.5</v>
      </c>
      <c r="O17" s="337">
        <f t="shared" si="17"/>
        <v>1009708.5</v>
      </c>
      <c r="P17" s="336">
        <f t="shared" si="17"/>
        <v>1009708.5</v>
      </c>
    </row>
    <row r="18" spans="1:16" x14ac:dyDescent="0.35">
      <c r="A18" s="335"/>
      <c r="B18" s="314"/>
      <c r="C18" s="317"/>
      <c r="D18" s="318"/>
      <c r="E18" s="317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316"/>
    </row>
    <row r="19" spans="1:16" x14ac:dyDescent="0.35">
      <c r="A19" s="334" t="s">
        <v>59</v>
      </c>
      <c r="B19" s="333" t="s">
        <v>385</v>
      </c>
      <c r="C19" s="331" t="s">
        <v>384</v>
      </c>
      <c r="D19" s="332" t="s">
        <v>197</v>
      </c>
      <c r="E19" s="331" t="s">
        <v>383</v>
      </c>
      <c r="F19" s="330" t="s">
        <v>382</v>
      </c>
      <c r="G19" s="330" t="s">
        <v>381</v>
      </c>
      <c r="H19" s="330" t="s">
        <v>380</v>
      </c>
      <c r="I19" s="330" t="s">
        <v>379</v>
      </c>
      <c r="J19" s="330" t="s">
        <v>378</v>
      </c>
      <c r="K19" s="330" t="s">
        <v>377</v>
      </c>
      <c r="L19" s="330" t="s">
        <v>376</v>
      </c>
      <c r="M19" s="330" t="s">
        <v>375</v>
      </c>
      <c r="N19" s="330" t="s">
        <v>374</v>
      </c>
      <c r="O19" s="330" t="s">
        <v>373</v>
      </c>
      <c r="P19" s="329" t="s">
        <v>372</v>
      </c>
    </row>
    <row r="20" spans="1:16" x14ac:dyDescent="0.35">
      <c r="A20" s="321" t="s">
        <v>30</v>
      </c>
      <c r="B20" s="314">
        <f>'5-Year DANN System'!C104</f>
        <v>215725.12</v>
      </c>
      <c r="C20" s="319">
        <f>D20-B20</f>
        <v>0</v>
      </c>
      <c r="D20" s="318">
        <f t="shared" ref="D20:D51" si="18">SUM(E20:P20)</f>
        <v>215725.11999999997</v>
      </c>
      <c r="E20" s="317">
        <f>B20/12</f>
        <v>17977.093333333334</v>
      </c>
      <c r="F20" s="62">
        <f t="shared" ref="F20:P20" si="19">E20</f>
        <v>17977.093333333334</v>
      </c>
      <c r="G20" s="62">
        <f t="shared" si="19"/>
        <v>17977.093333333334</v>
      </c>
      <c r="H20" s="62">
        <f t="shared" si="19"/>
        <v>17977.093333333334</v>
      </c>
      <c r="I20" s="62">
        <f t="shared" si="19"/>
        <v>17977.093333333334</v>
      </c>
      <c r="J20" s="62">
        <f t="shared" si="19"/>
        <v>17977.093333333334</v>
      </c>
      <c r="K20" s="62">
        <f t="shared" si="19"/>
        <v>17977.093333333334</v>
      </c>
      <c r="L20" s="62">
        <f t="shared" si="19"/>
        <v>17977.093333333334</v>
      </c>
      <c r="M20" s="62">
        <f t="shared" si="19"/>
        <v>17977.093333333334</v>
      </c>
      <c r="N20" s="62">
        <f t="shared" si="19"/>
        <v>17977.093333333334</v>
      </c>
      <c r="O20" s="62">
        <f t="shared" si="19"/>
        <v>17977.093333333334</v>
      </c>
      <c r="P20" s="316">
        <f t="shared" si="19"/>
        <v>17977.093333333334</v>
      </c>
    </row>
    <row r="21" spans="1:16" x14ac:dyDescent="0.35">
      <c r="A21" s="321" t="s">
        <v>61</v>
      </c>
      <c r="B21" s="314">
        <f>'5-Year DANN System'!C105</f>
        <v>155760.57999999999</v>
      </c>
      <c r="C21" s="319">
        <f>D21-B21</f>
        <v>0</v>
      </c>
      <c r="D21" s="318">
        <f t="shared" si="18"/>
        <v>155760.58000000002</v>
      </c>
      <c r="E21" s="317">
        <f>B21/12</f>
        <v>12980.048333333332</v>
      </c>
      <c r="F21" s="62">
        <f t="shared" ref="F21:P21" si="20">E21</f>
        <v>12980.048333333332</v>
      </c>
      <c r="G21" s="62">
        <f t="shared" si="20"/>
        <v>12980.048333333332</v>
      </c>
      <c r="H21" s="62">
        <f t="shared" si="20"/>
        <v>12980.048333333332</v>
      </c>
      <c r="I21" s="62">
        <f t="shared" si="20"/>
        <v>12980.048333333332</v>
      </c>
      <c r="J21" s="62">
        <f t="shared" si="20"/>
        <v>12980.048333333332</v>
      </c>
      <c r="K21" s="62">
        <f t="shared" si="20"/>
        <v>12980.048333333332</v>
      </c>
      <c r="L21" s="62">
        <f t="shared" si="20"/>
        <v>12980.048333333332</v>
      </c>
      <c r="M21" s="62">
        <f t="shared" si="20"/>
        <v>12980.048333333332</v>
      </c>
      <c r="N21" s="62">
        <f t="shared" si="20"/>
        <v>12980.048333333332</v>
      </c>
      <c r="O21" s="62">
        <f t="shared" si="20"/>
        <v>12980.048333333332</v>
      </c>
      <c r="P21" s="316">
        <f t="shared" si="20"/>
        <v>12980.048333333332</v>
      </c>
    </row>
    <row r="22" spans="1:16" x14ac:dyDescent="0.35">
      <c r="A22" s="321" t="s">
        <v>33</v>
      </c>
      <c r="B22" s="314">
        <f>'5-Year DANN System'!C106</f>
        <v>60962.34</v>
      </c>
      <c r="C22" s="319">
        <f>D22-B22</f>
        <v>0</v>
      </c>
      <c r="D22" s="318">
        <f t="shared" si="18"/>
        <v>60962.34</v>
      </c>
      <c r="E22" s="317">
        <f>B22/12</f>
        <v>5080.1949999999997</v>
      </c>
      <c r="F22" s="62">
        <f t="shared" ref="F22:P22" si="21">E22</f>
        <v>5080.1949999999997</v>
      </c>
      <c r="G22" s="62">
        <f t="shared" si="21"/>
        <v>5080.1949999999997</v>
      </c>
      <c r="H22" s="62">
        <f t="shared" si="21"/>
        <v>5080.1949999999997</v>
      </c>
      <c r="I22" s="62">
        <f t="shared" si="21"/>
        <v>5080.1949999999997</v>
      </c>
      <c r="J22" s="62">
        <f t="shared" si="21"/>
        <v>5080.1949999999997</v>
      </c>
      <c r="K22" s="62">
        <f t="shared" si="21"/>
        <v>5080.1949999999997</v>
      </c>
      <c r="L22" s="62">
        <f t="shared" si="21"/>
        <v>5080.1949999999997</v>
      </c>
      <c r="M22" s="62">
        <f t="shared" si="21"/>
        <v>5080.1949999999997</v>
      </c>
      <c r="N22" s="62">
        <f t="shared" si="21"/>
        <v>5080.1949999999997</v>
      </c>
      <c r="O22" s="62">
        <f t="shared" si="21"/>
        <v>5080.1949999999997</v>
      </c>
      <c r="P22" s="316">
        <f t="shared" si="21"/>
        <v>5080.1949999999997</v>
      </c>
    </row>
    <row r="23" spans="1:16" x14ac:dyDescent="0.35">
      <c r="A23" s="321" t="s">
        <v>252</v>
      </c>
      <c r="B23" s="314">
        <f>'5-Year DANN System'!C107</f>
        <v>121128.64</v>
      </c>
      <c r="C23" s="319"/>
      <c r="D23" s="318">
        <f t="shared" si="18"/>
        <v>121128.64000000003</v>
      </c>
      <c r="E23" s="317">
        <v>0</v>
      </c>
      <c r="F23" s="62">
        <f>B23/11</f>
        <v>11011.694545454546</v>
      </c>
      <c r="G23" s="62">
        <f t="shared" ref="G23:P23" si="22">F23</f>
        <v>11011.694545454546</v>
      </c>
      <c r="H23" s="62">
        <f t="shared" si="22"/>
        <v>11011.694545454546</v>
      </c>
      <c r="I23" s="62">
        <f t="shared" si="22"/>
        <v>11011.694545454546</v>
      </c>
      <c r="J23" s="62">
        <f t="shared" si="22"/>
        <v>11011.694545454546</v>
      </c>
      <c r="K23" s="62">
        <f t="shared" si="22"/>
        <v>11011.694545454546</v>
      </c>
      <c r="L23" s="62">
        <f t="shared" si="22"/>
        <v>11011.694545454546</v>
      </c>
      <c r="M23" s="62">
        <f t="shared" si="22"/>
        <v>11011.694545454546</v>
      </c>
      <c r="N23" s="62">
        <f t="shared" si="22"/>
        <v>11011.694545454546</v>
      </c>
      <c r="O23" s="62">
        <f t="shared" si="22"/>
        <v>11011.694545454546</v>
      </c>
      <c r="P23" s="316">
        <f t="shared" si="22"/>
        <v>11011.694545454546</v>
      </c>
    </row>
    <row r="24" spans="1:16" x14ac:dyDescent="0.35">
      <c r="A24" s="321" t="s">
        <v>63</v>
      </c>
      <c r="B24" s="314">
        <f>'5-Year DANN System'!C108</f>
        <v>69228.42</v>
      </c>
      <c r="C24" s="319">
        <f t="shared" ref="C24:C49" si="23">D24-B24</f>
        <v>0</v>
      </c>
      <c r="D24" s="318">
        <f t="shared" si="18"/>
        <v>69228.420000000013</v>
      </c>
      <c r="E24" s="317"/>
      <c r="F24" s="328">
        <f>B24/11</f>
        <v>6293.4927272727273</v>
      </c>
      <c r="G24" s="62">
        <f t="shared" ref="G24:P24" si="24">F24</f>
        <v>6293.4927272727273</v>
      </c>
      <c r="H24" s="62">
        <f t="shared" si="24"/>
        <v>6293.4927272727273</v>
      </c>
      <c r="I24" s="62">
        <f t="shared" si="24"/>
        <v>6293.4927272727273</v>
      </c>
      <c r="J24" s="62">
        <f t="shared" si="24"/>
        <v>6293.4927272727273</v>
      </c>
      <c r="K24" s="62">
        <f t="shared" si="24"/>
        <v>6293.4927272727273</v>
      </c>
      <c r="L24" s="62">
        <f t="shared" si="24"/>
        <v>6293.4927272727273</v>
      </c>
      <c r="M24" s="62">
        <f t="shared" si="24"/>
        <v>6293.4927272727273</v>
      </c>
      <c r="N24" s="62">
        <f t="shared" si="24"/>
        <v>6293.4927272727273</v>
      </c>
      <c r="O24" s="62">
        <f t="shared" si="24"/>
        <v>6293.4927272727273</v>
      </c>
      <c r="P24" s="316">
        <f t="shared" si="24"/>
        <v>6293.4927272727273</v>
      </c>
    </row>
    <row r="25" spans="1:16" x14ac:dyDescent="0.35">
      <c r="A25" s="321" t="s">
        <v>64</v>
      </c>
      <c r="B25" s="314">
        <f>'5-Year DANN System'!C109</f>
        <v>3033450</v>
      </c>
      <c r="C25" s="326">
        <f t="shared" si="23"/>
        <v>-252787.5</v>
      </c>
      <c r="D25" s="318">
        <f t="shared" si="18"/>
        <v>2780662.5</v>
      </c>
      <c r="E25" s="317">
        <v>0</v>
      </c>
      <c r="F25" s="62">
        <f>B25/12</f>
        <v>252787.5</v>
      </c>
      <c r="G25" s="62">
        <f t="shared" ref="G25:P25" si="25">F25</f>
        <v>252787.5</v>
      </c>
      <c r="H25" s="62">
        <f t="shared" si="25"/>
        <v>252787.5</v>
      </c>
      <c r="I25" s="62">
        <f t="shared" si="25"/>
        <v>252787.5</v>
      </c>
      <c r="J25" s="62">
        <f t="shared" si="25"/>
        <v>252787.5</v>
      </c>
      <c r="K25" s="62">
        <f t="shared" si="25"/>
        <v>252787.5</v>
      </c>
      <c r="L25" s="62">
        <f t="shared" si="25"/>
        <v>252787.5</v>
      </c>
      <c r="M25" s="62">
        <f t="shared" si="25"/>
        <v>252787.5</v>
      </c>
      <c r="N25" s="62">
        <f t="shared" si="25"/>
        <v>252787.5</v>
      </c>
      <c r="O25" s="62">
        <f t="shared" si="25"/>
        <v>252787.5</v>
      </c>
      <c r="P25" s="316">
        <f t="shared" si="25"/>
        <v>252787.5</v>
      </c>
    </row>
    <row r="26" spans="1:16" x14ac:dyDescent="0.35">
      <c r="A26" s="321" t="s">
        <v>19</v>
      </c>
      <c r="B26" s="314">
        <f>'5-Year DANN System'!C111</f>
        <v>339150</v>
      </c>
      <c r="C26" s="326">
        <f t="shared" si="23"/>
        <v>-28262.5</v>
      </c>
      <c r="D26" s="318">
        <f t="shared" si="18"/>
        <v>310887.5</v>
      </c>
      <c r="E26" s="317">
        <v>0</v>
      </c>
      <c r="F26" s="62">
        <f>B26/12</f>
        <v>28262.5</v>
      </c>
      <c r="G26" s="62">
        <f t="shared" ref="G26:P26" si="26">F26</f>
        <v>28262.5</v>
      </c>
      <c r="H26" s="62">
        <f t="shared" si="26"/>
        <v>28262.5</v>
      </c>
      <c r="I26" s="62">
        <f t="shared" si="26"/>
        <v>28262.5</v>
      </c>
      <c r="J26" s="62">
        <f t="shared" si="26"/>
        <v>28262.5</v>
      </c>
      <c r="K26" s="62">
        <f t="shared" si="26"/>
        <v>28262.5</v>
      </c>
      <c r="L26" s="62">
        <f t="shared" si="26"/>
        <v>28262.5</v>
      </c>
      <c r="M26" s="62">
        <f t="shared" si="26"/>
        <v>28262.5</v>
      </c>
      <c r="N26" s="62">
        <f t="shared" si="26"/>
        <v>28262.5</v>
      </c>
      <c r="O26" s="62">
        <f t="shared" si="26"/>
        <v>28262.5</v>
      </c>
      <c r="P26" s="316">
        <f t="shared" si="26"/>
        <v>28262.5</v>
      </c>
    </row>
    <row r="27" spans="1:16" x14ac:dyDescent="0.35">
      <c r="A27" s="321" t="s">
        <v>67</v>
      </c>
      <c r="B27" s="314">
        <f>'5-Year DANN System'!C112</f>
        <v>196085.98859199998</v>
      </c>
      <c r="C27" s="319">
        <f t="shared" si="23"/>
        <v>0</v>
      </c>
      <c r="D27" s="318">
        <f t="shared" si="18"/>
        <v>196085.98859199998</v>
      </c>
      <c r="E27" s="317">
        <f>B27/12</f>
        <v>16340.499049333332</v>
      </c>
      <c r="F27" s="62">
        <f>E27</f>
        <v>16340.499049333332</v>
      </c>
      <c r="G27" s="62">
        <f t="shared" ref="G27:P27" si="27">F27</f>
        <v>16340.499049333332</v>
      </c>
      <c r="H27" s="62">
        <f t="shared" si="27"/>
        <v>16340.499049333332</v>
      </c>
      <c r="I27" s="62">
        <f t="shared" si="27"/>
        <v>16340.499049333332</v>
      </c>
      <c r="J27" s="62">
        <f t="shared" si="27"/>
        <v>16340.499049333332</v>
      </c>
      <c r="K27" s="62">
        <f t="shared" si="27"/>
        <v>16340.499049333332</v>
      </c>
      <c r="L27" s="62">
        <f t="shared" si="27"/>
        <v>16340.499049333332</v>
      </c>
      <c r="M27" s="62">
        <f t="shared" si="27"/>
        <v>16340.499049333332</v>
      </c>
      <c r="N27" s="62">
        <f t="shared" si="27"/>
        <v>16340.499049333332</v>
      </c>
      <c r="O27" s="62">
        <f t="shared" si="27"/>
        <v>16340.499049333332</v>
      </c>
      <c r="P27" s="316">
        <f t="shared" si="27"/>
        <v>16340.499049333332</v>
      </c>
    </row>
    <row r="28" spans="1:16" x14ac:dyDescent="0.35">
      <c r="A28" s="321" t="s">
        <v>68</v>
      </c>
      <c r="B28" s="314">
        <f>'5-Year DANN System'!C113</f>
        <v>85880</v>
      </c>
      <c r="C28" s="319">
        <f t="shared" si="23"/>
        <v>0</v>
      </c>
      <c r="D28" s="318">
        <f t="shared" si="18"/>
        <v>85879.999999999985</v>
      </c>
      <c r="E28" s="317">
        <v>0</v>
      </c>
      <c r="F28" s="62">
        <f>B28/11</f>
        <v>7807.272727272727</v>
      </c>
      <c r="G28" s="62">
        <f t="shared" ref="G28:P28" si="28">F28</f>
        <v>7807.272727272727</v>
      </c>
      <c r="H28" s="62">
        <f t="shared" si="28"/>
        <v>7807.272727272727</v>
      </c>
      <c r="I28" s="62">
        <f t="shared" si="28"/>
        <v>7807.272727272727</v>
      </c>
      <c r="J28" s="62">
        <f t="shared" si="28"/>
        <v>7807.272727272727</v>
      </c>
      <c r="K28" s="62">
        <f t="shared" si="28"/>
        <v>7807.272727272727</v>
      </c>
      <c r="L28" s="62">
        <f t="shared" si="28"/>
        <v>7807.272727272727</v>
      </c>
      <c r="M28" s="62">
        <f t="shared" si="28"/>
        <v>7807.272727272727</v>
      </c>
      <c r="N28" s="62">
        <f t="shared" si="28"/>
        <v>7807.272727272727</v>
      </c>
      <c r="O28" s="62">
        <f t="shared" si="28"/>
        <v>7807.272727272727</v>
      </c>
      <c r="P28" s="316">
        <f t="shared" si="28"/>
        <v>7807.272727272727</v>
      </c>
    </row>
    <row r="29" spans="1:16" x14ac:dyDescent="0.35">
      <c r="A29" s="321" t="s">
        <v>69</v>
      </c>
      <c r="B29" s="314">
        <f>'5-Year DANN System'!C114</f>
        <v>171000</v>
      </c>
      <c r="C29" s="319">
        <f t="shared" si="23"/>
        <v>0</v>
      </c>
      <c r="D29" s="318">
        <f t="shared" si="18"/>
        <v>171000.00000000003</v>
      </c>
      <c r="E29" s="317">
        <v>0</v>
      </c>
      <c r="F29" s="62">
        <f>B29/11</f>
        <v>15545.454545454546</v>
      </c>
      <c r="G29" s="62">
        <f t="shared" ref="G29:P29" si="29">F29</f>
        <v>15545.454545454546</v>
      </c>
      <c r="H29" s="62">
        <f t="shared" si="29"/>
        <v>15545.454545454546</v>
      </c>
      <c r="I29" s="62">
        <f t="shared" si="29"/>
        <v>15545.454545454546</v>
      </c>
      <c r="J29" s="62">
        <f t="shared" si="29"/>
        <v>15545.454545454546</v>
      </c>
      <c r="K29" s="62">
        <f t="shared" si="29"/>
        <v>15545.454545454546</v>
      </c>
      <c r="L29" s="62">
        <f t="shared" si="29"/>
        <v>15545.454545454546</v>
      </c>
      <c r="M29" s="62">
        <f t="shared" si="29"/>
        <v>15545.454545454546</v>
      </c>
      <c r="N29" s="62">
        <f t="shared" si="29"/>
        <v>15545.454545454546</v>
      </c>
      <c r="O29" s="62">
        <f t="shared" si="29"/>
        <v>15545.454545454546</v>
      </c>
      <c r="P29" s="316">
        <f t="shared" si="29"/>
        <v>15545.454545454546</v>
      </c>
    </row>
    <row r="30" spans="1:16" x14ac:dyDescent="0.35">
      <c r="A30" s="321" t="s">
        <v>70</v>
      </c>
      <c r="B30" s="314">
        <f>'5-Year DANN System'!C115</f>
        <v>97440</v>
      </c>
      <c r="C30" s="319">
        <f t="shared" si="23"/>
        <v>0</v>
      </c>
      <c r="D30" s="318">
        <f t="shared" si="18"/>
        <v>97440</v>
      </c>
      <c r="E30" s="317">
        <f t="shared" ref="E30:E37" si="30">B30/12</f>
        <v>8120</v>
      </c>
      <c r="F30" s="62">
        <f t="shared" ref="F30:F37" si="31">E30</f>
        <v>8120</v>
      </c>
      <c r="G30" s="62">
        <f t="shared" ref="G30:P30" si="32">F30</f>
        <v>8120</v>
      </c>
      <c r="H30" s="62">
        <f t="shared" si="32"/>
        <v>8120</v>
      </c>
      <c r="I30" s="62">
        <f t="shared" si="32"/>
        <v>8120</v>
      </c>
      <c r="J30" s="62">
        <f t="shared" si="32"/>
        <v>8120</v>
      </c>
      <c r="K30" s="62">
        <f t="shared" si="32"/>
        <v>8120</v>
      </c>
      <c r="L30" s="62">
        <f t="shared" si="32"/>
        <v>8120</v>
      </c>
      <c r="M30" s="62">
        <f t="shared" si="32"/>
        <v>8120</v>
      </c>
      <c r="N30" s="62">
        <f t="shared" si="32"/>
        <v>8120</v>
      </c>
      <c r="O30" s="62">
        <f t="shared" si="32"/>
        <v>8120</v>
      </c>
      <c r="P30" s="316">
        <f t="shared" si="32"/>
        <v>8120</v>
      </c>
    </row>
    <row r="31" spans="1:16" x14ac:dyDescent="0.35">
      <c r="A31" s="321" t="s">
        <v>38</v>
      </c>
      <c r="B31" s="314">
        <f>'5-Year DANN System'!C116</f>
        <v>0</v>
      </c>
      <c r="C31" s="319">
        <f t="shared" si="23"/>
        <v>0</v>
      </c>
      <c r="D31" s="318">
        <f t="shared" si="18"/>
        <v>0</v>
      </c>
      <c r="E31" s="317">
        <f t="shared" si="30"/>
        <v>0</v>
      </c>
      <c r="F31" s="62">
        <f t="shared" si="31"/>
        <v>0</v>
      </c>
      <c r="G31" s="62">
        <f t="shared" ref="G31:P31" si="33">F31</f>
        <v>0</v>
      </c>
      <c r="H31" s="62">
        <f t="shared" si="33"/>
        <v>0</v>
      </c>
      <c r="I31" s="62">
        <f t="shared" si="33"/>
        <v>0</v>
      </c>
      <c r="J31" s="62">
        <f t="shared" si="33"/>
        <v>0</v>
      </c>
      <c r="K31" s="62">
        <f t="shared" si="33"/>
        <v>0</v>
      </c>
      <c r="L31" s="62">
        <f t="shared" si="33"/>
        <v>0</v>
      </c>
      <c r="M31" s="62">
        <f t="shared" si="33"/>
        <v>0</v>
      </c>
      <c r="N31" s="62">
        <f t="shared" si="33"/>
        <v>0</v>
      </c>
      <c r="O31" s="62">
        <f t="shared" si="33"/>
        <v>0</v>
      </c>
      <c r="P31" s="316">
        <f t="shared" si="33"/>
        <v>0</v>
      </c>
    </row>
    <row r="32" spans="1:16" x14ac:dyDescent="0.35">
      <c r="A32" s="327" t="s">
        <v>371</v>
      </c>
      <c r="B32" s="314">
        <f>'5-Year DANN System'!C119</f>
        <v>0</v>
      </c>
      <c r="C32" s="319">
        <f t="shared" si="23"/>
        <v>0</v>
      </c>
      <c r="D32" s="318">
        <f t="shared" si="18"/>
        <v>0</v>
      </c>
      <c r="E32" s="317">
        <f t="shared" si="30"/>
        <v>0</v>
      </c>
      <c r="F32" s="62">
        <f t="shared" si="31"/>
        <v>0</v>
      </c>
      <c r="G32" s="62">
        <f t="shared" ref="G32:P32" si="34">F32</f>
        <v>0</v>
      </c>
      <c r="H32" s="62">
        <f t="shared" si="34"/>
        <v>0</v>
      </c>
      <c r="I32" s="62">
        <f t="shared" si="34"/>
        <v>0</v>
      </c>
      <c r="J32" s="62">
        <f t="shared" si="34"/>
        <v>0</v>
      </c>
      <c r="K32" s="62">
        <f t="shared" si="34"/>
        <v>0</v>
      </c>
      <c r="L32" s="62">
        <f t="shared" si="34"/>
        <v>0</v>
      </c>
      <c r="M32" s="62">
        <f t="shared" si="34"/>
        <v>0</v>
      </c>
      <c r="N32" s="62">
        <f t="shared" si="34"/>
        <v>0</v>
      </c>
      <c r="O32" s="62">
        <f t="shared" si="34"/>
        <v>0</v>
      </c>
      <c r="P32" s="316">
        <f t="shared" si="34"/>
        <v>0</v>
      </c>
    </row>
    <row r="33" spans="1:16" x14ac:dyDescent="0.35">
      <c r="A33" s="321" t="s">
        <v>39</v>
      </c>
      <c r="B33" s="314">
        <f>'5-Year DANN System'!C120</f>
        <v>0</v>
      </c>
      <c r="C33" s="319">
        <f t="shared" si="23"/>
        <v>0</v>
      </c>
      <c r="D33" s="318">
        <f t="shared" si="18"/>
        <v>0</v>
      </c>
      <c r="E33" s="317">
        <f t="shared" si="30"/>
        <v>0</v>
      </c>
      <c r="F33" s="62">
        <f t="shared" si="31"/>
        <v>0</v>
      </c>
      <c r="G33" s="62">
        <f t="shared" ref="G33:P33" si="35">F33</f>
        <v>0</v>
      </c>
      <c r="H33" s="62">
        <f t="shared" si="35"/>
        <v>0</v>
      </c>
      <c r="I33" s="62">
        <f t="shared" si="35"/>
        <v>0</v>
      </c>
      <c r="J33" s="62">
        <f t="shared" si="35"/>
        <v>0</v>
      </c>
      <c r="K33" s="62">
        <f t="shared" si="35"/>
        <v>0</v>
      </c>
      <c r="L33" s="62">
        <f t="shared" si="35"/>
        <v>0</v>
      </c>
      <c r="M33" s="62">
        <f t="shared" si="35"/>
        <v>0</v>
      </c>
      <c r="N33" s="62">
        <f t="shared" si="35"/>
        <v>0</v>
      </c>
      <c r="O33" s="62">
        <f t="shared" si="35"/>
        <v>0</v>
      </c>
      <c r="P33" s="316">
        <f t="shared" si="35"/>
        <v>0</v>
      </c>
    </row>
    <row r="34" spans="1:16" x14ac:dyDescent="0.35">
      <c r="A34" s="321" t="s">
        <v>40</v>
      </c>
      <c r="B34" s="314">
        <f>'5-Year DANN System'!C121</f>
        <v>50113.109999999993</v>
      </c>
      <c r="C34" s="319">
        <f t="shared" si="23"/>
        <v>0</v>
      </c>
      <c r="D34" s="318">
        <f t="shared" si="18"/>
        <v>50113.109999999993</v>
      </c>
      <c r="E34" s="317">
        <f t="shared" si="30"/>
        <v>4176.0924999999997</v>
      </c>
      <c r="F34" s="62">
        <f t="shared" si="31"/>
        <v>4176.0924999999997</v>
      </c>
      <c r="G34" s="62">
        <f t="shared" ref="G34:P34" si="36">F34</f>
        <v>4176.0924999999997</v>
      </c>
      <c r="H34" s="62">
        <f t="shared" si="36"/>
        <v>4176.0924999999997</v>
      </c>
      <c r="I34" s="62">
        <f t="shared" si="36"/>
        <v>4176.0924999999997</v>
      </c>
      <c r="J34" s="62">
        <f t="shared" si="36"/>
        <v>4176.0924999999997</v>
      </c>
      <c r="K34" s="62">
        <f t="shared" si="36"/>
        <v>4176.0924999999997</v>
      </c>
      <c r="L34" s="62">
        <f t="shared" si="36"/>
        <v>4176.0924999999997</v>
      </c>
      <c r="M34" s="62">
        <f t="shared" si="36"/>
        <v>4176.0924999999997</v>
      </c>
      <c r="N34" s="62">
        <f t="shared" si="36"/>
        <v>4176.0924999999997</v>
      </c>
      <c r="O34" s="62">
        <f t="shared" si="36"/>
        <v>4176.0924999999997</v>
      </c>
      <c r="P34" s="316">
        <f t="shared" si="36"/>
        <v>4176.0924999999997</v>
      </c>
    </row>
    <row r="35" spans="1:16" x14ac:dyDescent="0.35">
      <c r="A35" s="321" t="s">
        <v>41</v>
      </c>
      <c r="B35" s="314">
        <f>'5-Year DANN System'!C122</f>
        <v>0</v>
      </c>
      <c r="C35" s="319">
        <f t="shared" si="23"/>
        <v>0</v>
      </c>
      <c r="D35" s="318">
        <f t="shared" si="18"/>
        <v>0</v>
      </c>
      <c r="E35" s="317">
        <f t="shared" si="30"/>
        <v>0</v>
      </c>
      <c r="F35" s="62">
        <f t="shared" si="31"/>
        <v>0</v>
      </c>
      <c r="G35" s="62">
        <f t="shared" ref="G35:P35" si="37">F35</f>
        <v>0</v>
      </c>
      <c r="H35" s="62">
        <f t="shared" si="37"/>
        <v>0</v>
      </c>
      <c r="I35" s="62">
        <f t="shared" si="37"/>
        <v>0</v>
      </c>
      <c r="J35" s="62">
        <f t="shared" si="37"/>
        <v>0</v>
      </c>
      <c r="K35" s="62">
        <f t="shared" si="37"/>
        <v>0</v>
      </c>
      <c r="L35" s="62">
        <f t="shared" si="37"/>
        <v>0</v>
      </c>
      <c r="M35" s="62">
        <f t="shared" si="37"/>
        <v>0</v>
      </c>
      <c r="N35" s="62">
        <f t="shared" si="37"/>
        <v>0</v>
      </c>
      <c r="O35" s="62">
        <f t="shared" si="37"/>
        <v>0</v>
      </c>
      <c r="P35" s="316">
        <f t="shared" si="37"/>
        <v>0</v>
      </c>
    </row>
    <row r="36" spans="1:16" x14ac:dyDescent="0.35">
      <c r="A36" s="321" t="s">
        <v>43</v>
      </c>
      <c r="B36" s="314">
        <f>'5-Year DANN System'!C123</f>
        <v>0</v>
      </c>
      <c r="C36" s="319">
        <f t="shared" si="23"/>
        <v>0</v>
      </c>
      <c r="D36" s="318">
        <f t="shared" si="18"/>
        <v>0</v>
      </c>
      <c r="E36" s="317">
        <f t="shared" si="30"/>
        <v>0</v>
      </c>
      <c r="F36" s="62">
        <f t="shared" si="31"/>
        <v>0</v>
      </c>
      <c r="G36" s="62">
        <f t="shared" ref="G36:P36" si="38">F36</f>
        <v>0</v>
      </c>
      <c r="H36" s="62">
        <f t="shared" si="38"/>
        <v>0</v>
      </c>
      <c r="I36" s="62">
        <f t="shared" si="38"/>
        <v>0</v>
      </c>
      <c r="J36" s="62">
        <f t="shared" si="38"/>
        <v>0</v>
      </c>
      <c r="K36" s="62">
        <f t="shared" si="38"/>
        <v>0</v>
      </c>
      <c r="L36" s="62">
        <f t="shared" si="38"/>
        <v>0</v>
      </c>
      <c r="M36" s="62">
        <f t="shared" si="38"/>
        <v>0</v>
      </c>
      <c r="N36" s="62">
        <f t="shared" si="38"/>
        <v>0</v>
      </c>
      <c r="O36" s="62">
        <f t="shared" si="38"/>
        <v>0</v>
      </c>
      <c r="P36" s="316">
        <f t="shared" si="38"/>
        <v>0</v>
      </c>
    </row>
    <row r="37" spans="1:16" x14ac:dyDescent="0.35">
      <c r="A37" s="321" t="s">
        <v>74</v>
      </c>
      <c r="B37" s="314">
        <f>'5-Year DANN System'!C124</f>
        <v>0</v>
      </c>
      <c r="C37" s="319">
        <f t="shared" si="23"/>
        <v>0</v>
      </c>
      <c r="D37" s="318">
        <f t="shared" si="18"/>
        <v>0</v>
      </c>
      <c r="E37" s="317">
        <f t="shared" si="30"/>
        <v>0</v>
      </c>
      <c r="F37" s="62">
        <f t="shared" si="31"/>
        <v>0</v>
      </c>
      <c r="G37" s="62">
        <f t="shared" ref="G37:P37" si="39">F37</f>
        <v>0</v>
      </c>
      <c r="H37" s="62">
        <f t="shared" si="39"/>
        <v>0</v>
      </c>
      <c r="I37" s="62">
        <f t="shared" si="39"/>
        <v>0</v>
      </c>
      <c r="J37" s="62">
        <f t="shared" si="39"/>
        <v>0</v>
      </c>
      <c r="K37" s="62">
        <f t="shared" si="39"/>
        <v>0</v>
      </c>
      <c r="L37" s="62">
        <f t="shared" si="39"/>
        <v>0</v>
      </c>
      <c r="M37" s="62">
        <f t="shared" si="39"/>
        <v>0</v>
      </c>
      <c r="N37" s="62">
        <f t="shared" si="39"/>
        <v>0</v>
      </c>
      <c r="O37" s="62">
        <f t="shared" si="39"/>
        <v>0</v>
      </c>
      <c r="P37" s="316">
        <f t="shared" si="39"/>
        <v>0</v>
      </c>
    </row>
    <row r="38" spans="1:16" x14ac:dyDescent="0.35">
      <c r="A38" s="321" t="s">
        <v>44</v>
      </c>
      <c r="B38" s="314">
        <f>'5-Year DANN System'!C125</f>
        <v>79729.51999999999</v>
      </c>
      <c r="C38" s="326">
        <f t="shared" si="23"/>
        <v>-6644.1266666666779</v>
      </c>
      <c r="D38" s="318">
        <f t="shared" si="18"/>
        <v>73085.393333333312</v>
      </c>
      <c r="E38" s="317">
        <v>0</v>
      </c>
      <c r="F38" s="62">
        <f>B38/12</f>
        <v>6644.1266666666661</v>
      </c>
      <c r="G38" s="62">
        <f t="shared" ref="G38:P38" si="40">F38</f>
        <v>6644.1266666666661</v>
      </c>
      <c r="H38" s="62">
        <f t="shared" si="40"/>
        <v>6644.1266666666661</v>
      </c>
      <c r="I38" s="62">
        <f t="shared" si="40"/>
        <v>6644.1266666666661</v>
      </c>
      <c r="J38" s="62">
        <f t="shared" si="40"/>
        <v>6644.1266666666661</v>
      </c>
      <c r="K38" s="62">
        <f t="shared" si="40"/>
        <v>6644.1266666666661</v>
      </c>
      <c r="L38" s="62">
        <f t="shared" si="40"/>
        <v>6644.1266666666661</v>
      </c>
      <c r="M38" s="62">
        <f t="shared" si="40"/>
        <v>6644.1266666666661</v>
      </c>
      <c r="N38" s="62">
        <f t="shared" si="40"/>
        <v>6644.1266666666661</v>
      </c>
      <c r="O38" s="62">
        <f t="shared" si="40"/>
        <v>6644.1266666666661</v>
      </c>
      <c r="P38" s="316">
        <f t="shared" si="40"/>
        <v>6644.1266666666661</v>
      </c>
    </row>
    <row r="39" spans="1:16" x14ac:dyDescent="0.35">
      <c r="A39" s="321" t="s">
        <v>77</v>
      </c>
      <c r="B39" s="314">
        <f>'5-Year DANN System'!C127</f>
        <v>34595</v>
      </c>
      <c r="C39" s="319">
        <f t="shared" si="23"/>
        <v>0</v>
      </c>
      <c r="D39" s="318">
        <f t="shared" si="18"/>
        <v>34595</v>
      </c>
      <c r="E39" s="317">
        <v>0</v>
      </c>
      <c r="F39" s="62">
        <f>B39/11</f>
        <v>3145</v>
      </c>
      <c r="G39" s="62">
        <f t="shared" ref="G39:P39" si="41">F39</f>
        <v>3145</v>
      </c>
      <c r="H39" s="62">
        <f t="shared" si="41"/>
        <v>3145</v>
      </c>
      <c r="I39" s="62">
        <f t="shared" si="41"/>
        <v>3145</v>
      </c>
      <c r="J39" s="62">
        <f t="shared" si="41"/>
        <v>3145</v>
      </c>
      <c r="K39" s="62">
        <f t="shared" si="41"/>
        <v>3145</v>
      </c>
      <c r="L39" s="62">
        <f t="shared" si="41"/>
        <v>3145</v>
      </c>
      <c r="M39" s="62">
        <f t="shared" si="41"/>
        <v>3145</v>
      </c>
      <c r="N39" s="62">
        <f t="shared" si="41"/>
        <v>3145</v>
      </c>
      <c r="O39" s="62">
        <f t="shared" si="41"/>
        <v>3145</v>
      </c>
      <c r="P39" s="316">
        <f t="shared" si="41"/>
        <v>3145</v>
      </c>
    </row>
    <row r="40" spans="1:16" x14ac:dyDescent="0.35">
      <c r="A40" s="321" t="s">
        <v>78</v>
      </c>
      <c r="B40" s="314">
        <f>'5-Year DANN System'!C128</f>
        <v>45000</v>
      </c>
      <c r="C40" s="319">
        <f t="shared" si="23"/>
        <v>0</v>
      </c>
      <c r="D40" s="318">
        <f t="shared" si="18"/>
        <v>45000</v>
      </c>
      <c r="E40" s="317">
        <v>0</v>
      </c>
      <c r="F40" s="62">
        <f>B40/11</f>
        <v>4090.909090909091</v>
      </c>
      <c r="G40" s="62">
        <f t="shared" ref="G40:P40" si="42">F40</f>
        <v>4090.909090909091</v>
      </c>
      <c r="H40" s="62">
        <f t="shared" si="42"/>
        <v>4090.909090909091</v>
      </c>
      <c r="I40" s="62">
        <f t="shared" si="42"/>
        <v>4090.909090909091</v>
      </c>
      <c r="J40" s="62">
        <f t="shared" si="42"/>
        <v>4090.909090909091</v>
      </c>
      <c r="K40" s="62">
        <f t="shared" si="42"/>
        <v>4090.909090909091</v>
      </c>
      <c r="L40" s="62">
        <f t="shared" si="42"/>
        <v>4090.909090909091</v>
      </c>
      <c r="M40" s="62">
        <f t="shared" si="42"/>
        <v>4090.909090909091</v>
      </c>
      <c r="N40" s="62">
        <f t="shared" si="42"/>
        <v>4090.909090909091</v>
      </c>
      <c r="O40" s="62">
        <f t="shared" si="42"/>
        <v>4090.909090909091</v>
      </c>
      <c r="P40" s="316">
        <f t="shared" si="42"/>
        <v>4090.909090909091</v>
      </c>
    </row>
    <row r="41" spans="1:16" x14ac:dyDescent="0.35">
      <c r="A41" s="321" t="s">
        <v>217</v>
      </c>
      <c r="B41" s="314">
        <f>'5-Year DANN System'!C131</f>
        <v>1414686.4937811196</v>
      </c>
      <c r="C41" s="326">
        <f t="shared" si="23"/>
        <v>-85589.002683333121</v>
      </c>
      <c r="D41" s="318">
        <f t="shared" si="18"/>
        <v>1329097.4910977865</v>
      </c>
      <c r="E41" s="325">
        <f>(SUM(E20:E40)*0.2975)</f>
        <v>19240.493644260001</v>
      </c>
      <c r="F41" s="7">
        <f>(SUM(F20:F40)*0.2975)</f>
        <v>119077.9088594115</v>
      </c>
      <c r="G41" s="7">
        <f t="shared" ref="G41:P41" si="43">(SUM(G20:G40)*0.2975)</f>
        <v>119077.9088594115</v>
      </c>
      <c r="H41" s="7">
        <f t="shared" si="43"/>
        <v>119077.9088594115</v>
      </c>
      <c r="I41" s="7">
        <f t="shared" si="43"/>
        <v>119077.9088594115</v>
      </c>
      <c r="J41" s="7">
        <f t="shared" si="43"/>
        <v>119077.9088594115</v>
      </c>
      <c r="K41" s="7">
        <f t="shared" si="43"/>
        <v>119077.9088594115</v>
      </c>
      <c r="L41" s="7">
        <f t="shared" si="43"/>
        <v>119077.9088594115</v>
      </c>
      <c r="M41" s="7">
        <f t="shared" si="43"/>
        <v>119077.9088594115</v>
      </c>
      <c r="N41" s="7">
        <f t="shared" si="43"/>
        <v>119077.9088594115</v>
      </c>
      <c r="O41" s="7">
        <f t="shared" si="43"/>
        <v>119077.9088594115</v>
      </c>
      <c r="P41" s="324">
        <f t="shared" si="43"/>
        <v>119077.9088594115</v>
      </c>
    </row>
    <row r="42" spans="1:16" x14ac:dyDescent="0.35">
      <c r="A42" s="321" t="s">
        <v>81</v>
      </c>
      <c r="B42" s="314">
        <f>'5-Year DANN System'!C132</f>
        <v>879721.01293951983</v>
      </c>
      <c r="C42" s="326">
        <f t="shared" si="23"/>
        <v>-64392.299913146649</v>
      </c>
      <c r="D42" s="318">
        <f t="shared" si="18"/>
        <v>815328.71302637318</v>
      </c>
      <c r="E42" s="325">
        <f>((SUM(E20:E40)*0.1825))</f>
        <v>11802.99189942</v>
      </c>
      <c r="F42" s="7">
        <f>((SUM(F20:F40)*0.1825))</f>
        <v>73047.792829723025</v>
      </c>
      <c r="G42" s="7">
        <f t="shared" ref="G42:O42" si="44">((SUM(G20:G40)*0.1825))</f>
        <v>73047.792829723025</v>
      </c>
      <c r="H42" s="7">
        <f t="shared" si="44"/>
        <v>73047.792829723025</v>
      </c>
      <c r="I42" s="7">
        <f t="shared" si="44"/>
        <v>73047.792829723025</v>
      </c>
      <c r="J42" s="7">
        <f t="shared" si="44"/>
        <v>73047.792829723025</v>
      </c>
      <c r="K42" s="7">
        <f t="shared" si="44"/>
        <v>73047.792829723025</v>
      </c>
      <c r="L42" s="7">
        <f t="shared" si="44"/>
        <v>73047.792829723025</v>
      </c>
      <c r="M42" s="7">
        <f t="shared" si="44"/>
        <v>73047.792829723025</v>
      </c>
      <c r="N42" s="7">
        <f t="shared" si="44"/>
        <v>73047.792829723025</v>
      </c>
      <c r="O42" s="7">
        <f t="shared" si="44"/>
        <v>73047.792829723025</v>
      </c>
      <c r="P42" s="324">
        <f>((SUM(P20:P40)*0.1825))</f>
        <v>73047.792829723025</v>
      </c>
    </row>
    <row r="43" spans="1:16" x14ac:dyDescent="0.35">
      <c r="A43" s="321" t="s">
        <v>82</v>
      </c>
      <c r="B43" s="314">
        <f>'5-Year DANN System'!C133</f>
        <v>79989.760000000009</v>
      </c>
      <c r="C43" s="319">
        <f t="shared" si="23"/>
        <v>0</v>
      </c>
      <c r="D43" s="318">
        <f t="shared" si="18"/>
        <v>79989.760000000009</v>
      </c>
      <c r="E43" s="317"/>
      <c r="F43" s="62"/>
      <c r="G43" s="62">
        <f>B43*0.75</f>
        <v>59992.320000000007</v>
      </c>
      <c r="H43" s="62"/>
      <c r="I43" s="62"/>
      <c r="J43" s="62">
        <f>B43*0.25</f>
        <v>19997.440000000002</v>
      </c>
      <c r="K43" s="62"/>
      <c r="L43" s="62"/>
      <c r="M43" s="62"/>
      <c r="N43" s="62"/>
      <c r="O43" s="62"/>
      <c r="P43" s="316">
        <v>0</v>
      </c>
    </row>
    <row r="44" spans="1:16" x14ac:dyDescent="0.35">
      <c r="A44" s="321" t="s">
        <v>83</v>
      </c>
      <c r="B44" s="314">
        <f>'5-Year DANN System'!C134</f>
        <v>0</v>
      </c>
      <c r="C44" s="319">
        <f t="shared" si="23"/>
        <v>0</v>
      </c>
      <c r="D44" s="318">
        <f t="shared" si="18"/>
        <v>0</v>
      </c>
      <c r="E44" s="317"/>
      <c r="F44" s="62"/>
      <c r="G44" s="62"/>
      <c r="H44" s="62"/>
      <c r="I44" s="62"/>
      <c r="J44" s="62">
        <v>0</v>
      </c>
      <c r="K44" s="62"/>
      <c r="L44" s="62"/>
      <c r="M44" s="62"/>
      <c r="N44" s="62">
        <v>0</v>
      </c>
      <c r="O44" s="62"/>
      <c r="P44" s="316"/>
    </row>
    <row r="45" spans="1:16" x14ac:dyDescent="0.35">
      <c r="A45" s="321" t="s">
        <v>84</v>
      </c>
      <c r="B45" s="314">
        <f>'5-Year DANN System'!C135</f>
        <v>12600</v>
      </c>
      <c r="C45" s="319">
        <f t="shared" si="23"/>
        <v>0</v>
      </c>
      <c r="D45" s="318">
        <f t="shared" si="18"/>
        <v>12600</v>
      </c>
      <c r="E45" s="317"/>
      <c r="F45" s="62"/>
      <c r="G45" s="62"/>
      <c r="H45" s="62"/>
      <c r="I45" s="62"/>
      <c r="J45" s="62"/>
      <c r="K45" s="62">
        <f>B45/2</f>
        <v>6300</v>
      </c>
      <c r="L45" s="62"/>
      <c r="M45" s="62"/>
      <c r="N45" s="62"/>
      <c r="O45" s="62"/>
      <c r="P45" s="316">
        <f>B45/2</f>
        <v>6300</v>
      </c>
    </row>
    <row r="46" spans="1:16" x14ac:dyDescent="0.35">
      <c r="A46" s="321" t="s">
        <v>370</v>
      </c>
      <c r="B46" s="314">
        <f>'5-Year DANN System'!C136</f>
        <v>84500</v>
      </c>
      <c r="C46" s="319">
        <f t="shared" si="23"/>
        <v>0</v>
      </c>
      <c r="D46" s="318">
        <f t="shared" si="18"/>
        <v>84500</v>
      </c>
      <c r="E46" s="317"/>
      <c r="F46" s="62">
        <f>B46/10</f>
        <v>8450</v>
      </c>
      <c r="G46" s="62">
        <f t="shared" ref="G46:O46" si="45">F46</f>
        <v>8450</v>
      </c>
      <c r="H46" s="62">
        <f t="shared" si="45"/>
        <v>8450</v>
      </c>
      <c r="I46" s="62">
        <f t="shared" si="45"/>
        <v>8450</v>
      </c>
      <c r="J46" s="62">
        <f t="shared" si="45"/>
        <v>8450</v>
      </c>
      <c r="K46" s="62">
        <f t="shared" si="45"/>
        <v>8450</v>
      </c>
      <c r="L46" s="62">
        <f t="shared" si="45"/>
        <v>8450</v>
      </c>
      <c r="M46" s="62">
        <f t="shared" si="45"/>
        <v>8450</v>
      </c>
      <c r="N46" s="62">
        <f t="shared" si="45"/>
        <v>8450</v>
      </c>
      <c r="O46" s="62">
        <f t="shared" si="45"/>
        <v>8450</v>
      </c>
      <c r="P46" s="316"/>
    </row>
    <row r="47" spans="1:16" x14ac:dyDescent="0.35">
      <c r="A47" s="323" t="s">
        <v>88</v>
      </c>
      <c r="B47" s="314">
        <f>'5-Year DANN System'!C140</f>
        <v>180240</v>
      </c>
      <c r="C47" s="319">
        <f t="shared" si="23"/>
        <v>0</v>
      </c>
      <c r="D47" s="318">
        <f t="shared" si="18"/>
        <v>180240</v>
      </c>
      <c r="E47" s="317">
        <f>B47*0.8</f>
        <v>144192</v>
      </c>
      <c r="F47" s="62">
        <f>(B47-E47)/2</f>
        <v>18024</v>
      </c>
      <c r="G47" s="62">
        <f>F47</f>
        <v>18024</v>
      </c>
      <c r="H47" s="62"/>
      <c r="I47" s="62"/>
      <c r="J47" s="62"/>
      <c r="K47" s="62"/>
      <c r="L47" s="62"/>
      <c r="M47" s="62"/>
      <c r="N47" s="62"/>
      <c r="O47" s="62"/>
      <c r="P47" s="316"/>
    </row>
    <row r="48" spans="1:16" x14ac:dyDescent="0.35">
      <c r="A48" s="323" t="s">
        <v>395</v>
      </c>
      <c r="B48" s="314">
        <f>'5-Year DANN System'!C141</f>
        <v>0</v>
      </c>
      <c r="C48" s="319">
        <f t="shared" si="23"/>
        <v>0</v>
      </c>
      <c r="D48" s="318">
        <f t="shared" si="18"/>
        <v>0</v>
      </c>
      <c r="E48" s="317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316"/>
    </row>
    <row r="49" spans="1:16" x14ac:dyDescent="0.35">
      <c r="A49" s="321" t="s">
        <v>89</v>
      </c>
      <c r="B49" s="314">
        <f>'5-Year DANN System'!C142</f>
        <v>221500</v>
      </c>
      <c r="C49" s="319">
        <f t="shared" si="23"/>
        <v>0</v>
      </c>
      <c r="D49" s="318">
        <f t="shared" si="18"/>
        <v>221500</v>
      </c>
      <c r="E49" s="317"/>
      <c r="F49" s="62"/>
      <c r="G49" s="62"/>
      <c r="H49" s="62"/>
      <c r="I49" s="62">
        <f>B49/8</f>
        <v>27687.5</v>
      </c>
      <c r="J49" s="62">
        <f t="shared" ref="J49:P49" si="46">I49</f>
        <v>27687.5</v>
      </c>
      <c r="K49" s="62">
        <f t="shared" si="46"/>
        <v>27687.5</v>
      </c>
      <c r="L49" s="62">
        <f t="shared" si="46"/>
        <v>27687.5</v>
      </c>
      <c r="M49" s="62">
        <f t="shared" si="46"/>
        <v>27687.5</v>
      </c>
      <c r="N49" s="62">
        <f t="shared" si="46"/>
        <v>27687.5</v>
      </c>
      <c r="O49" s="62">
        <f t="shared" si="46"/>
        <v>27687.5</v>
      </c>
      <c r="P49" s="316">
        <f t="shared" si="46"/>
        <v>27687.5</v>
      </c>
    </row>
    <row r="50" spans="1:16" x14ac:dyDescent="0.35">
      <c r="A50" s="63" t="s">
        <v>90</v>
      </c>
      <c r="B50" s="314">
        <f>'5-Year DANN System'!C143</f>
        <v>0</v>
      </c>
      <c r="C50" s="319"/>
      <c r="D50" s="318">
        <f t="shared" si="18"/>
        <v>0</v>
      </c>
      <c r="E50" s="317">
        <f>B50*0.9</f>
        <v>0</v>
      </c>
      <c r="F50" s="62">
        <f>B50*0.1</f>
        <v>0</v>
      </c>
      <c r="G50" s="62"/>
      <c r="H50" s="62"/>
      <c r="I50" s="62"/>
      <c r="J50" s="62"/>
      <c r="K50" s="62"/>
      <c r="L50" s="62"/>
      <c r="M50" s="62"/>
      <c r="N50" s="62"/>
      <c r="O50" s="62"/>
      <c r="P50" s="316"/>
    </row>
    <row r="51" spans="1:16" x14ac:dyDescent="0.35">
      <c r="A51" s="321" t="s">
        <v>91</v>
      </c>
      <c r="B51" s="314">
        <f>'5-Year DANN System'!C144</f>
        <v>21560</v>
      </c>
      <c r="C51" s="319">
        <f t="shared" ref="C51:C59" si="47">D51-B51</f>
        <v>0</v>
      </c>
      <c r="D51" s="318">
        <f t="shared" si="18"/>
        <v>21560</v>
      </c>
      <c r="E51" s="317">
        <f t="shared" ref="E51:E56" si="48">B51*0.5</f>
        <v>10780</v>
      </c>
      <c r="F51" s="62">
        <f t="shared" ref="F51:F56" si="49">(B51-E51)/11</f>
        <v>980</v>
      </c>
      <c r="G51" s="62">
        <f t="shared" ref="G51:P51" si="50">F51</f>
        <v>980</v>
      </c>
      <c r="H51" s="62">
        <f t="shared" si="50"/>
        <v>980</v>
      </c>
      <c r="I51" s="62">
        <f t="shared" si="50"/>
        <v>980</v>
      </c>
      <c r="J51" s="62">
        <f t="shared" si="50"/>
        <v>980</v>
      </c>
      <c r="K51" s="62">
        <f t="shared" si="50"/>
        <v>980</v>
      </c>
      <c r="L51" s="62">
        <f t="shared" si="50"/>
        <v>980</v>
      </c>
      <c r="M51" s="62">
        <f t="shared" si="50"/>
        <v>980</v>
      </c>
      <c r="N51" s="62">
        <f t="shared" si="50"/>
        <v>980</v>
      </c>
      <c r="O51" s="62">
        <f t="shared" si="50"/>
        <v>980</v>
      </c>
      <c r="P51" s="316">
        <f t="shared" si="50"/>
        <v>980</v>
      </c>
    </row>
    <row r="52" spans="1:16" x14ac:dyDescent="0.35">
      <c r="A52" s="321" t="s">
        <v>92</v>
      </c>
      <c r="B52" s="314">
        <f>'5-Year DANN System'!C145</f>
        <v>44660</v>
      </c>
      <c r="C52" s="319">
        <f t="shared" si="47"/>
        <v>0</v>
      </c>
      <c r="D52" s="318">
        <f t="shared" ref="D52:D83" si="51">SUM(E52:P52)</f>
        <v>44660</v>
      </c>
      <c r="E52" s="317">
        <f t="shared" si="48"/>
        <v>22330</v>
      </c>
      <c r="F52" s="62">
        <f t="shared" si="49"/>
        <v>2030</v>
      </c>
      <c r="G52" s="62">
        <f t="shared" ref="G52:P52" si="52">F52</f>
        <v>2030</v>
      </c>
      <c r="H52" s="62">
        <f t="shared" si="52"/>
        <v>2030</v>
      </c>
      <c r="I52" s="62">
        <f t="shared" si="52"/>
        <v>2030</v>
      </c>
      <c r="J52" s="62">
        <f t="shared" si="52"/>
        <v>2030</v>
      </c>
      <c r="K52" s="62">
        <f t="shared" si="52"/>
        <v>2030</v>
      </c>
      <c r="L52" s="62">
        <f t="shared" si="52"/>
        <v>2030</v>
      </c>
      <c r="M52" s="62">
        <f t="shared" si="52"/>
        <v>2030</v>
      </c>
      <c r="N52" s="62">
        <f t="shared" si="52"/>
        <v>2030</v>
      </c>
      <c r="O52" s="62">
        <f t="shared" si="52"/>
        <v>2030</v>
      </c>
      <c r="P52" s="316">
        <f t="shared" si="52"/>
        <v>2030</v>
      </c>
    </row>
    <row r="53" spans="1:16" x14ac:dyDescent="0.35">
      <c r="A53" s="321" t="s">
        <v>93</v>
      </c>
      <c r="B53" s="314">
        <f>'5-Year DANN System'!C146</f>
        <v>6545</v>
      </c>
      <c r="C53" s="319">
        <f t="shared" si="47"/>
        <v>0</v>
      </c>
      <c r="D53" s="318">
        <f t="shared" si="51"/>
        <v>6545</v>
      </c>
      <c r="E53" s="317">
        <f t="shared" si="48"/>
        <v>3272.5</v>
      </c>
      <c r="F53" s="62">
        <f t="shared" si="49"/>
        <v>297.5</v>
      </c>
      <c r="G53" s="62">
        <f t="shared" ref="G53:P53" si="53">F53</f>
        <v>297.5</v>
      </c>
      <c r="H53" s="62">
        <f t="shared" si="53"/>
        <v>297.5</v>
      </c>
      <c r="I53" s="62">
        <f t="shared" si="53"/>
        <v>297.5</v>
      </c>
      <c r="J53" s="62">
        <f t="shared" si="53"/>
        <v>297.5</v>
      </c>
      <c r="K53" s="62">
        <f t="shared" si="53"/>
        <v>297.5</v>
      </c>
      <c r="L53" s="62">
        <f t="shared" si="53"/>
        <v>297.5</v>
      </c>
      <c r="M53" s="62">
        <f t="shared" si="53"/>
        <v>297.5</v>
      </c>
      <c r="N53" s="62">
        <f t="shared" si="53"/>
        <v>297.5</v>
      </c>
      <c r="O53" s="62">
        <f t="shared" si="53"/>
        <v>297.5</v>
      </c>
      <c r="P53" s="316">
        <f t="shared" si="53"/>
        <v>297.5</v>
      </c>
    </row>
    <row r="54" spans="1:16" x14ac:dyDescent="0.35">
      <c r="A54" s="321" t="s">
        <v>94</v>
      </c>
      <c r="B54" s="314">
        <f>'5-Year DANN System'!C147</f>
        <v>5005</v>
      </c>
      <c r="C54" s="319">
        <f t="shared" si="47"/>
        <v>0</v>
      </c>
      <c r="D54" s="318">
        <f t="shared" si="51"/>
        <v>5005</v>
      </c>
      <c r="E54" s="317">
        <f t="shared" si="48"/>
        <v>2502.5</v>
      </c>
      <c r="F54" s="62">
        <f t="shared" si="49"/>
        <v>227.5</v>
      </c>
      <c r="G54" s="62">
        <f t="shared" ref="G54:P54" si="54">F54</f>
        <v>227.5</v>
      </c>
      <c r="H54" s="62">
        <f t="shared" si="54"/>
        <v>227.5</v>
      </c>
      <c r="I54" s="62">
        <f t="shared" si="54"/>
        <v>227.5</v>
      </c>
      <c r="J54" s="62">
        <f t="shared" si="54"/>
        <v>227.5</v>
      </c>
      <c r="K54" s="62">
        <f t="shared" si="54"/>
        <v>227.5</v>
      </c>
      <c r="L54" s="62">
        <f t="shared" si="54"/>
        <v>227.5</v>
      </c>
      <c r="M54" s="62">
        <f t="shared" si="54"/>
        <v>227.5</v>
      </c>
      <c r="N54" s="62">
        <f t="shared" si="54"/>
        <v>227.5</v>
      </c>
      <c r="O54" s="62">
        <f t="shared" si="54"/>
        <v>227.5</v>
      </c>
      <c r="P54" s="316">
        <f t="shared" si="54"/>
        <v>227.5</v>
      </c>
    </row>
    <row r="55" spans="1:16" x14ac:dyDescent="0.35">
      <c r="A55" s="321" t="s">
        <v>95</v>
      </c>
      <c r="B55" s="314">
        <f>'5-Year DANN System'!C148</f>
        <v>25861.919999999998</v>
      </c>
      <c r="C55" s="319">
        <f t="shared" si="47"/>
        <v>0</v>
      </c>
      <c r="D55" s="318">
        <f t="shared" si="51"/>
        <v>25861.919999999987</v>
      </c>
      <c r="E55" s="317">
        <f t="shared" si="48"/>
        <v>12930.96</v>
      </c>
      <c r="F55" s="62">
        <f t="shared" si="49"/>
        <v>1175.5418181818181</v>
      </c>
      <c r="G55" s="62">
        <f t="shared" ref="G55:P55" si="55">F55</f>
        <v>1175.5418181818181</v>
      </c>
      <c r="H55" s="62">
        <f t="shared" si="55"/>
        <v>1175.5418181818181</v>
      </c>
      <c r="I55" s="62">
        <f t="shared" si="55"/>
        <v>1175.5418181818181</v>
      </c>
      <c r="J55" s="62">
        <f t="shared" si="55"/>
        <v>1175.5418181818181</v>
      </c>
      <c r="K55" s="62">
        <f t="shared" si="55"/>
        <v>1175.5418181818181</v>
      </c>
      <c r="L55" s="62">
        <f t="shared" si="55"/>
        <v>1175.5418181818181</v>
      </c>
      <c r="M55" s="62">
        <f t="shared" si="55"/>
        <v>1175.5418181818181</v>
      </c>
      <c r="N55" s="62">
        <f t="shared" si="55"/>
        <v>1175.5418181818181</v>
      </c>
      <c r="O55" s="62">
        <f t="shared" si="55"/>
        <v>1175.5418181818181</v>
      </c>
      <c r="P55" s="316">
        <f t="shared" si="55"/>
        <v>1175.5418181818181</v>
      </c>
    </row>
    <row r="56" spans="1:16" x14ac:dyDescent="0.35">
      <c r="A56" s="321" t="s">
        <v>350</v>
      </c>
      <c r="B56" s="314">
        <f>'5-Year DANN System'!C149</f>
        <v>0</v>
      </c>
      <c r="C56" s="319">
        <f t="shared" si="47"/>
        <v>0</v>
      </c>
      <c r="D56" s="318">
        <f t="shared" si="51"/>
        <v>0</v>
      </c>
      <c r="E56" s="317">
        <f t="shared" si="48"/>
        <v>0</v>
      </c>
      <c r="F56" s="62">
        <f t="shared" si="49"/>
        <v>0</v>
      </c>
      <c r="G56" s="62">
        <f t="shared" ref="G56:P56" si="56">F56</f>
        <v>0</v>
      </c>
      <c r="H56" s="62">
        <f t="shared" si="56"/>
        <v>0</v>
      </c>
      <c r="I56" s="62">
        <f t="shared" si="56"/>
        <v>0</v>
      </c>
      <c r="J56" s="62">
        <f t="shared" si="56"/>
        <v>0</v>
      </c>
      <c r="K56" s="62">
        <f t="shared" si="56"/>
        <v>0</v>
      </c>
      <c r="L56" s="62">
        <f t="shared" si="56"/>
        <v>0</v>
      </c>
      <c r="M56" s="62">
        <f t="shared" si="56"/>
        <v>0</v>
      </c>
      <c r="N56" s="62">
        <f t="shared" si="56"/>
        <v>0</v>
      </c>
      <c r="O56" s="62">
        <f t="shared" si="56"/>
        <v>0</v>
      </c>
      <c r="P56" s="316">
        <f t="shared" si="56"/>
        <v>0</v>
      </c>
    </row>
    <row r="57" spans="1:16" x14ac:dyDescent="0.35">
      <c r="A57" s="321" t="s">
        <v>99</v>
      </c>
      <c r="B57" s="314">
        <f>'5-Year DANN System'!C152</f>
        <v>18750</v>
      </c>
      <c r="C57" s="319">
        <f t="shared" si="47"/>
        <v>0</v>
      </c>
      <c r="D57" s="318">
        <f t="shared" si="51"/>
        <v>18750</v>
      </c>
      <c r="E57" s="317"/>
      <c r="F57" s="62"/>
      <c r="G57" s="62"/>
      <c r="H57" s="62"/>
      <c r="I57" s="62"/>
      <c r="J57" s="62"/>
      <c r="K57" s="62">
        <f>B57/2</f>
        <v>9375</v>
      </c>
      <c r="L57" s="62"/>
      <c r="M57" s="62"/>
      <c r="N57" s="62"/>
      <c r="O57" s="62"/>
      <c r="P57" s="316">
        <f>K57</f>
        <v>9375</v>
      </c>
    </row>
    <row r="58" spans="1:16" x14ac:dyDescent="0.35">
      <c r="A58" s="321" t="s">
        <v>100</v>
      </c>
      <c r="B58" s="314">
        <f>'5-Year DANN System'!C153</f>
        <v>367760</v>
      </c>
      <c r="C58" s="319">
        <f t="shared" si="47"/>
        <v>0</v>
      </c>
      <c r="D58" s="318">
        <f t="shared" si="51"/>
        <v>367760.00000000006</v>
      </c>
      <c r="E58" s="317"/>
      <c r="F58" s="62">
        <f>B58/11</f>
        <v>33432.727272727272</v>
      </c>
      <c r="G58" s="62">
        <f t="shared" ref="G58:P58" si="57">F58</f>
        <v>33432.727272727272</v>
      </c>
      <c r="H58" s="62">
        <f t="shared" si="57"/>
        <v>33432.727272727272</v>
      </c>
      <c r="I58" s="62">
        <f t="shared" si="57"/>
        <v>33432.727272727272</v>
      </c>
      <c r="J58" s="62">
        <f t="shared" si="57"/>
        <v>33432.727272727272</v>
      </c>
      <c r="K58" s="62">
        <f t="shared" si="57"/>
        <v>33432.727272727272</v>
      </c>
      <c r="L58" s="62">
        <f t="shared" si="57"/>
        <v>33432.727272727272</v>
      </c>
      <c r="M58" s="62">
        <f t="shared" si="57"/>
        <v>33432.727272727272</v>
      </c>
      <c r="N58" s="62">
        <f t="shared" si="57"/>
        <v>33432.727272727272</v>
      </c>
      <c r="O58" s="62">
        <f t="shared" si="57"/>
        <v>33432.727272727272</v>
      </c>
      <c r="P58" s="316">
        <f t="shared" si="57"/>
        <v>33432.727272727272</v>
      </c>
    </row>
    <row r="59" spans="1:16" x14ac:dyDescent="0.35">
      <c r="A59" s="321" t="s">
        <v>101</v>
      </c>
      <c r="B59" s="314">
        <f>'5-Year DANN System'!C154</f>
        <v>0</v>
      </c>
      <c r="C59" s="319">
        <f t="shared" si="47"/>
        <v>0</v>
      </c>
      <c r="D59" s="318">
        <f t="shared" si="51"/>
        <v>0</v>
      </c>
      <c r="E59" s="317">
        <f>B59/12</f>
        <v>0</v>
      </c>
      <c r="F59" s="62">
        <f>E59</f>
        <v>0</v>
      </c>
      <c r="G59" s="62">
        <f t="shared" ref="G59:P59" si="58">F59</f>
        <v>0</v>
      </c>
      <c r="H59" s="62">
        <f t="shared" si="58"/>
        <v>0</v>
      </c>
      <c r="I59" s="62">
        <f t="shared" si="58"/>
        <v>0</v>
      </c>
      <c r="J59" s="62">
        <f t="shared" si="58"/>
        <v>0</v>
      </c>
      <c r="K59" s="62">
        <f t="shared" si="58"/>
        <v>0</v>
      </c>
      <c r="L59" s="62">
        <f t="shared" si="58"/>
        <v>0</v>
      </c>
      <c r="M59" s="62">
        <f t="shared" si="58"/>
        <v>0</v>
      </c>
      <c r="N59" s="62">
        <f t="shared" si="58"/>
        <v>0</v>
      </c>
      <c r="O59" s="62">
        <f t="shared" si="58"/>
        <v>0</v>
      </c>
      <c r="P59" s="316">
        <f t="shared" si="58"/>
        <v>0</v>
      </c>
    </row>
    <row r="60" spans="1:16" x14ac:dyDescent="0.35">
      <c r="A60" s="321" t="s">
        <v>369</v>
      </c>
      <c r="B60" s="314">
        <f>'5-Year DANN System'!C155</f>
        <v>448200</v>
      </c>
      <c r="C60" s="319"/>
      <c r="D60" s="318">
        <f t="shared" si="51"/>
        <v>448200</v>
      </c>
      <c r="E60" s="317">
        <f>B60/12</f>
        <v>37350</v>
      </c>
      <c r="F60" s="62">
        <f>E60</f>
        <v>37350</v>
      </c>
      <c r="G60" s="62">
        <f t="shared" ref="G60:P60" si="59">F60</f>
        <v>37350</v>
      </c>
      <c r="H60" s="62">
        <f t="shared" si="59"/>
        <v>37350</v>
      </c>
      <c r="I60" s="62">
        <f t="shared" si="59"/>
        <v>37350</v>
      </c>
      <c r="J60" s="62">
        <f t="shared" si="59"/>
        <v>37350</v>
      </c>
      <c r="K60" s="62">
        <f t="shared" si="59"/>
        <v>37350</v>
      </c>
      <c r="L60" s="62">
        <f t="shared" si="59"/>
        <v>37350</v>
      </c>
      <c r="M60" s="62">
        <f t="shared" si="59"/>
        <v>37350</v>
      </c>
      <c r="N60" s="62">
        <f t="shared" si="59"/>
        <v>37350</v>
      </c>
      <c r="O60" s="62">
        <f t="shared" si="59"/>
        <v>37350</v>
      </c>
      <c r="P60" s="316">
        <f t="shared" si="59"/>
        <v>37350</v>
      </c>
    </row>
    <row r="61" spans="1:16" x14ac:dyDescent="0.35">
      <c r="A61" s="321" t="s">
        <v>103</v>
      </c>
      <c r="B61" s="314">
        <f>'5-Year DANN System'!C156</f>
        <v>23280</v>
      </c>
      <c r="C61" s="319">
        <f t="shared" ref="C61:C84" si="60">D61-B61</f>
        <v>0</v>
      </c>
      <c r="D61" s="318">
        <f t="shared" si="51"/>
        <v>23280</v>
      </c>
      <c r="E61" s="317">
        <f>B61/12</f>
        <v>1940</v>
      </c>
      <c r="F61" s="62">
        <f>E61</f>
        <v>1940</v>
      </c>
      <c r="G61" s="62">
        <f t="shared" ref="G61:P61" si="61">F61</f>
        <v>1940</v>
      </c>
      <c r="H61" s="62">
        <f t="shared" si="61"/>
        <v>1940</v>
      </c>
      <c r="I61" s="62">
        <f t="shared" si="61"/>
        <v>1940</v>
      </c>
      <c r="J61" s="62">
        <f t="shared" si="61"/>
        <v>1940</v>
      </c>
      <c r="K61" s="62">
        <f t="shared" si="61"/>
        <v>1940</v>
      </c>
      <c r="L61" s="62">
        <f t="shared" si="61"/>
        <v>1940</v>
      </c>
      <c r="M61" s="62">
        <f t="shared" si="61"/>
        <v>1940</v>
      </c>
      <c r="N61" s="62">
        <f t="shared" si="61"/>
        <v>1940</v>
      </c>
      <c r="O61" s="62">
        <f t="shared" si="61"/>
        <v>1940</v>
      </c>
      <c r="P61" s="316">
        <f t="shared" si="61"/>
        <v>1940</v>
      </c>
    </row>
    <row r="62" spans="1:16" x14ac:dyDescent="0.35">
      <c r="A62" s="321" t="s">
        <v>104</v>
      </c>
      <c r="B62" s="314">
        <f>'5-Year DANN System'!C157</f>
        <v>29355</v>
      </c>
      <c r="C62" s="319">
        <f t="shared" si="60"/>
        <v>0</v>
      </c>
      <c r="D62" s="318">
        <f t="shared" si="51"/>
        <v>29355</v>
      </c>
      <c r="E62" s="317"/>
      <c r="F62" s="62"/>
      <c r="G62" s="62"/>
      <c r="H62" s="62"/>
      <c r="I62" s="62">
        <f>B62*0.8</f>
        <v>23484</v>
      </c>
      <c r="J62" s="62"/>
      <c r="K62" s="62"/>
      <c r="L62" s="62">
        <f>B62-I62</f>
        <v>5871</v>
      </c>
      <c r="M62" s="62"/>
      <c r="N62" s="62"/>
      <c r="O62" s="62"/>
      <c r="P62" s="316"/>
    </row>
    <row r="63" spans="1:16" x14ac:dyDescent="0.35">
      <c r="A63" s="321" t="s">
        <v>105</v>
      </c>
      <c r="B63" s="314">
        <f>'5-Year DANN System'!C158</f>
        <v>11000</v>
      </c>
      <c r="C63" s="319">
        <f t="shared" si="60"/>
        <v>0</v>
      </c>
      <c r="D63" s="318">
        <f t="shared" si="51"/>
        <v>11000</v>
      </c>
      <c r="E63" s="317">
        <v>8000</v>
      </c>
      <c r="F63" s="62">
        <v>1500</v>
      </c>
      <c r="G63" s="62">
        <v>500</v>
      </c>
      <c r="H63" s="62">
        <v>500</v>
      </c>
      <c r="I63" s="62">
        <v>500</v>
      </c>
      <c r="J63" s="62"/>
      <c r="K63" s="62"/>
      <c r="L63" s="62"/>
      <c r="M63" s="62"/>
      <c r="N63" s="62"/>
      <c r="O63" s="62"/>
      <c r="P63" s="316"/>
    </row>
    <row r="64" spans="1:16" x14ac:dyDescent="0.35">
      <c r="A64" s="321" t="s">
        <v>106</v>
      </c>
      <c r="B64" s="314">
        <f>'5-Year DANN System'!C159</f>
        <v>69300</v>
      </c>
      <c r="C64" s="319">
        <f t="shared" si="60"/>
        <v>0</v>
      </c>
      <c r="D64" s="318">
        <f t="shared" si="51"/>
        <v>69300</v>
      </c>
      <c r="E64" s="317">
        <f>B64/12</f>
        <v>5775</v>
      </c>
      <c r="F64" s="62">
        <f t="shared" ref="F64:P64" si="62">E64</f>
        <v>5775</v>
      </c>
      <c r="G64" s="62">
        <f t="shared" si="62"/>
        <v>5775</v>
      </c>
      <c r="H64" s="62">
        <f t="shared" si="62"/>
        <v>5775</v>
      </c>
      <c r="I64" s="62">
        <f t="shared" si="62"/>
        <v>5775</v>
      </c>
      <c r="J64" s="62">
        <f t="shared" si="62"/>
        <v>5775</v>
      </c>
      <c r="K64" s="62">
        <f t="shared" si="62"/>
        <v>5775</v>
      </c>
      <c r="L64" s="62">
        <f t="shared" si="62"/>
        <v>5775</v>
      </c>
      <c r="M64" s="62">
        <f t="shared" si="62"/>
        <v>5775</v>
      </c>
      <c r="N64" s="62">
        <f t="shared" si="62"/>
        <v>5775</v>
      </c>
      <c r="O64" s="62">
        <f t="shared" si="62"/>
        <v>5775</v>
      </c>
      <c r="P64" s="316">
        <f t="shared" si="62"/>
        <v>5775</v>
      </c>
    </row>
    <row r="65" spans="1:16" x14ac:dyDescent="0.35">
      <c r="A65" s="321" t="s">
        <v>107</v>
      </c>
      <c r="B65" s="314">
        <f>'5-Year DANN System'!C160</f>
        <v>25000</v>
      </c>
      <c r="C65" s="319">
        <f t="shared" si="60"/>
        <v>7500</v>
      </c>
      <c r="D65" s="318">
        <f t="shared" si="51"/>
        <v>32500</v>
      </c>
      <c r="E65" s="317">
        <v>20000</v>
      </c>
      <c r="F65" s="62">
        <v>8500</v>
      </c>
      <c r="G65" s="62">
        <v>4000</v>
      </c>
      <c r="H65" s="62"/>
      <c r="I65" s="62"/>
      <c r="J65" s="62"/>
      <c r="K65" s="62"/>
      <c r="L65" s="62"/>
      <c r="M65" s="62"/>
      <c r="N65" s="62"/>
      <c r="O65" s="62"/>
      <c r="P65" s="316"/>
    </row>
    <row r="66" spans="1:16" x14ac:dyDescent="0.35">
      <c r="A66" s="321" t="s">
        <v>368</v>
      </c>
      <c r="B66" s="314">
        <f>'5-Year DANN System'!C161</f>
        <v>138888.75</v>
      </c>
      <c r="C66" s="319">
        <f t="shared" si="60"/>
        <v>0</v>
      </c>
      <c r="D66" s="318">
        <f t="shared" si="51"/>
        <v>138888.75</v>
      </c>
      <c r="E66" s="317">
        <f>B66/12</f>
        <v>11574.0625</v>
      </c>
      <c r="F66" s="62">
        <f t="shared" ref="F66:P66" si="63">E66</f>
        <v>11574.0625</v>
      </c>
      <c r="G66" s="62">
        <f t="shared" si="63"/>
        <v>11574.0625</v>
      </c>
      <c r="H66" s="62">
        <f t="shared" si="63"/>
        <v>11574.0625</v>
      </c>
      <c r="I66" s="62">
        <f t="shared" si="63"/>
        <v>11574.0625</v>
      </c>
      <c r="J66" s="62">
        <f t="shared" si="63"/>
        <v>11574.0625</v>
      </c>
      <c r="K66" s="62">
        <f t="shared" si="63"/>
        <v>11574.0625</v>
      </c>
      <c r="L66" s="62">
        <f t="shared" si="63"/>
        <v>11574.0625</v>
      </c>
      <c r="M66" s="62">
        <f t="shared" si="63"/>
        <v>11574.0625</v>
      </c>
      <c r="N66" s="62">
        <f t="shared" si="63"/>
        <v>11574.0625</v>
      </c>
      <c r="O66" s="62">
        <f t="shared" si="63"/>
        <v>11574.0625</v>
      </c>
      <c r="P66" s="316">
        <f t="shared" si="63"/>
        <v>11574.0625</v>
      </c>
    </row>
    <row r="67" spans="1:16" x14ac:dyDescent="0.35">
      <c r="A67" s="321" t="s">
        <v>108</v>
      </c>
      <c r="B67" s="314">
        <f>'5-Year DANN System'!C162</f>
        <v>55555.5</v>
      </c>
      <c r="C67" s="319">
        <f t="shared" si="60"/>
        <v>0</v>
      </c>
      <c r="D67" s="318">
        <f t="shared" si="51"/>
        <v>55555.5</v>
      </c>
      <c r="E67" s="317">
        <f>B67/12</f>
        <v>4629.625</v>
      </c>
      <c r="F67" s="62">
        <f t="shared" ref="F67:P67" si="64">E67</f>
        <v>4629.625</v>
      </c>
      <c r="G67" s="62">
        <f t="shared" si="64"/>
        <v>4629.625</v>
      </c>
      <c r="H67" s="62">
        <f t="shared" si="64"/>
        <v>4629.625</v>
      </c>
      <c r="I67" s="62">
        <f t="shared" si="64"/>
        <v>4629.625</v>
      </c>
      <c r="J67" s="62">
        <f t="shared" si="64"/>
        <v>4629.625</v>
      </c>
      <c r="K67" s="62">
        <f t="shared" si="64"/>
        <v>4629.625</v>
      </c>
      <c r="L67" s="62">
        <f t="shared" si="64"/>
        <v>4629.625</v>
      </c>
      <c r="M67" s="62">
        <f t="shared" si="64"/>
        <v>4629.625</v>
      </c>
      <c r="N67" s="62">
        <f t="shared" si="64"/>
        <v>4629.625</v>
      </c>
      <c r="O67" s="62">
        <f t="shared" si="64"/>
        <v>4629.625</v>
      </c>
      <c r="P67" s="316">
        <f t="shared" si="64"/>
        <v>4629.625</v>
      </c>
    </row>
    <row r="68" spans="1:16" x14ac:dyDescent="0.35">
      <c r="A68" s="321" t="s">
        <v>109</v>
      </c>
      <c r="B68" s="314">
        <f>'5-Year DANN System'!C163</f>
        <v>55555.5</v>
      </c>
      <c r="C68" s="319">
        <f t="shared" si="60"/>
        <v>0</v>
      </c>
      <c r="D68" s="318">
        <f t="shared" si="51"/>
        <v>55555.5</v>
      </c>
      <c r="E68" s="317">
        <f>B68/12</f>
        <v>4629.625</v>
      </c>
      <c r="F68" s="62">
        <f t="shared" ref="F68:P68" si="65">E68</f>
        <v>4629.625</v>
      </c>
      <c r="G68" s="62">
        <f t="shared" si="65"/>
        <v>4629.625</v>
      </c>
      <c r="H68" s="62">
        <f t="shared" si="65"/>
        <v>4629.625</v>
      </c>
      <c r="I68" s="62">
        <f t="shared" si="65"/>
        <v>4629.625</v>
      </c>
      <c r="J68" s="62">
        <f t="shared" si="65"/>
        <v>4629.625</v>
      </c>
      <c r="K68" s="62">
        <f t="shared" si="65"/>
        <v>4629.625</v>
      </c>
      <c r="L68" s="62">
        <f t="shared" si="65"/>
        <v>4629.625</v>
      </c>
      <c r="M68" s="62">
        <f t="shared" si="65"/>
        <v>4629.625</v>
      </c>
      <c r="N68" s="62">
        <f t="shared" si="65"/>
        <v>4629.625</v>
      </c>
      <c r="O68" s="62">
        <f t="shared" si="65"/>
        <v>4629.625</v>
      </c>
      <c r="P68" s="316">
        <f t="shared" si="65"/>
        <v>4629.625</v>
      </c>
    </row>
    <row r="69" spans="1:16" x14ac:dyDescent="0.35">
      <c r="A69" s="321" t="s">
        <v>113</v>
      </c>
      <c r="B69" s="314">
        <f>'5-Year DANN System'!C167</f>
        <v>29311.739999999998</v>
      </c>
      <c r="C69" s="319">
        <f t="shared" si="60"/>
        <v>0</v>
      </c>
      <c r="D69" s="318">
        <f t="shared" si="51"/>
        <v>29311.739999999998</v>
      </c>
      <c r="E69" s="317"/>
      <c r="F69" s="62">
        <f>B69/11</f>
        <v>2664.7036363636362</v>
      </c>
      <c r="G69" s="62">
        <f t="shared" ref="G69:P69" si="66">F69</f>
        <v>2664.7036363636362</v>
      </c>
      <c r="H69" s="62">
        <f t="shared" si="66"/>
        <v>2664.7036363636362</v>
      </c>
      <c r="I69" s="62">
        <f t="shared" si="66"/>
        <v>2664.7036363636362</v>
      </c>
      <c r="J69" s="62">
        <f t="shared" si="66"/>
        <v>2664.7036363636362</v>
      </c>
      <c r="K69" s="62">
        <f t="shared" si="66"/>
        <v>2664.7036363636362</v>
      </c>
      <c r="L69" s="62">
        <f t="shared" si="66"/>
        <v>2664.7036363636362</v>
      </c>
      <c r="M69" s="62">
        <f t="shared" si="66"/>
        <v>2664.7036363636362</v>
      </c>
      <c r="N69" s="62">
        <f t="shared" si="66"/>
        <v>2664.7036363636362</v>
      </c>
      <c r="O69" s="62">
        <f t="shared" si="66"/>
        <v>2664.7036363636362</v>
      </c>
      <c r="P69" s="316">
        <f t="shared" si="66"/>
        <v>2664.7036363636362</v>
      </c>
    </row>
    <row r="70" spans="1:16" x14ac:dyDescent="0.35">
      <c r="A70" s="321" t="s">
        <v>114</v>
      </c>
      <c r="B70" s="314">
        <f>'5-Year DANN System'!C168</f>
        <v>8034</v>
      </c>
      <c r="C70" s="319">
        <f t="shared" si="60"/>
        <v>0</v>
      </c>
      <c r="D70" s="318">
        <f t="shared" si="51"/>
        <v>8033.9999999999982</v>
      </c>
      <c r="E70" s="317"/>
      <c r="F70" s="62">
        <f>B70/11</f>
        <v>730.36363636363637</v>
      </c>
      <c r="G70" s="62">
        <f t="shared" ref="G70:P70" si="67">F70</f>
        <v>730.36363636363637</v>
      </c>
      <c r="H70" s="62">
        <f t="shared" si="67"/>
        <v>730.36363636363637</v>
      </c>
      <c r="I70" s="62">
        <f t="shared" si="67"/>
        <v>730.36363636363637</v>
      </c>
      <c r="J70" s="62">
        <f t="shared" si="67"/>
        <v>730.36363636363637</v>
      </c>
      <c r="K70" s="62">
        <f t="shared" si="67"/>
        <v>730.36363636363637</v>
      </c>
      <c r="L70" s="62">
        <f t="shared" si="67"/>
        <v>730.36363636363637</v>
      </c>
      <c r="M70" s="62">
        <f t="shared" si="67"/>
        <v>730.36363636363637</v>
      </c>
      <c r="N70" s="62">
        <f t="shared" si="67"/>
        <v>730.36363636363637</v>
      </c>
      <c r="O70" s="62">
        <f t="shared" si="67"/>
        <v>730.36363636363637</v>
      </c>
      <c r="P70" s="316">
        <f t="shared" si="67"/>
        <v>730.36363636363637</v>
      </c>
    </row>
    <row r="71" spans="1:16" x14ac:dyDescent="0.35">
      <c r="A71" s="321" t="s">
        <v>115</v>
      </c>
      <c r="B71" s="314">
        <f>'5-Year DANN System'!C169</f>
        <v>0</v>
      </c>
      <c r="C71" s="319">
        <f t="shared" si="60"/>
        <v>0</v>
      </c>
      <c r="D71" s="318">
        <f t="shared" si="51"/>
        <v>0</v>
      </c>
      <c r="E71" s="317"/>
      <c r="F71" s="62"/>
      <c r="G71" s="62">
        <f>F71</f>
        <v>0</v>
      </c>
      <c r="H71" s="62"/>
      <c r="I71" s="62"/>
      <c r="J71" s="62"/>
      <c r="K71" s="62"/>
      <c r="L71" s="62"/>
      <c r="M71" s="62"/>
      <c r="N71" s="62"/>
      <c r="O71" s="62"/>
      <c r="P71" s="316"/>
    </row>
    <row r="72" spans="1:16" x14ac:dyDescent="0.35">
      <c r="A72" s="321" t="s">
        <v>116</v>
      </c>
      <c r="B72" s="314">
        <f>'5-Year DANN System'!C170</f>
        <v>1500</v>
      </c>
      <c r="C72" s="319">
        <f t="shared" si="60"/>
        <v>0</v>
      </c>
      <c r="D72" s="318">
        <f t="shared" si="51"/>
        <v>1500</v>
      </c>
      <c r="E72" s="317">
        <f>B72/12</f>
        <v>125</v>
      </c>
      <c r="F72" s="62">
        <f>E72</f>
        <v>125</v>
      </c>
      <c r="G72" s="62">
        <f>F72</f>
        <v>125</v>
      </c>
      <c r="H72" s="62">
        <f t="shared" ref="H72:P72" si="68">G72</f>
        <v>125</v>
      </c>
      <c r="I72" s="62">
        <f t="shared" si="68"/>
        <v>125</v>
      </c>
      <c r="J72" s="62">
        <f t="shared" si="68"/>
        <v>125</v>
      </c>
      <c r="K72" s="62">
        <f t="shared" si="68"/>
        <v>125</v>
      </c>
      <c r="L72" s="62">
        <f t="shared" si="68"/>
        <v>125</v>
      </c>
      <c r="M72" s="62">
        <f t="shared" si="68"/>
        <v>125</v>
      </c>
      <c r="N72" s="62">
        <f t="shared" si="68"/>
        <v>125</v>
      </c>
      <c r="O72" s="62">
        <f t="shared" si="68"/>
        <v>125</v>
      </c>
      <c r="P72" s="316">
        <f t="shared" si="68"/>
        <v>125</v>
      </c>
    </row>
    <row r="73" spans="1:16" x14ac:dyDescent="0.35">
      <c r="A73" s="321" t="s">
        <v>117</v>
      </c>
      <c r="B73" s="314">
        <f>'5-Year DANN System'!C171</f>
        <v>9000</v>
      </c>
      <c r="C73" s="319">
        <f t="shared" si="60"/>
        <v>0</v>
      </c>
      <c r="D73" s="318">
        <f t="shared" si="51"/>
        <v>9000</v>
      </c>
      <c r="E73" s="317"/>
      <c r="F73" s="62">
        <f>B73</f>
        <v>9000</v>
      </c>
      <c r="G73" s="62"/>
      <c r="H73" s="62"/>
      <c r="I73" s="62"/>
      <c r="J73" s="62"/>
      <c r="K73" s="62"/>
      <c r="L73" s="62"/>
      <c r="M73" s="62"/>
      <c r="N73" s="62"/>
      <c r="O73" s="62"/>
      <c r="P73" s="316"/>
    </row>
    <row r="74" spans="1:16" x14ac:dyDescent="0.35">
      <c r="A74" s="321" t="s">
        <v>118</v>
      </c>
      <c r="B74" s="314">
        <f>'5-Year DANN System'!C172</f>
        <v>56650</v>
      </c>
      <c r="C74" s="319">
        <f t="shared" si="60"/>
        <v>0</v>
      </c>
      <c r="D74" s="318">
        <f t="shared" si="51"/>
        <v>56650</v>
      </c>
      <c r="E74" s="317"/>
      <c r="F74" s="62">
        <f>B74/11</f>
        <v>5150</v>
      </c>
      <c r="G74" s="62">
        <f t="shared" ref="G74:P74" si="69">F74</f>
        <v>5150</v>
      </c>
      <c r="H74" s="62">
        <f t="shared" si="69"/>
        <v>5150</v>
      </c>
      <c r="I74" s="62">
        <f t="shared" si="69"/>
        <v>5150</v>
      </c>
      <c r="J74" s="62">
        <f t="shared" si="69"/>
        <v>5150</v>
      </c>
      <c r="K74" s="62">
        <f t="shared" si="69"/>
        <v>5150</v>
      </c>
      <c r="L74" s="62">
        <f t="shared" si="69"/>
        <v>5150</v>
      </c>
      <c r="M74" s="62">
        <f t="shared" si="69"/>
        <v>5150</v>
      </c>
      <c r="N74" s="62">
        <f t="shared" si="69"/>
        <v>5150</v>
      </c>
      <c r="O74" s="62">
        <f t="shared" si="69"/>
        <v>5150</v>
      </c>
      <c r="P74" s="316">
        <f t="shared" si="69"/>
        <v>5150</v>
      </c>
    </row>
    <row r="75" spans="1:16" x14ac:dyDescent="0.35">
      <c r="A75" s="321" t="s">
        <v>119</v>
      </c>
      <c r="B75" s="314">
        <f>'5-Year DANN System'!C173</f>
        <v>6592</v>
      </c>
      <c r="C75" s="319">
        <f t="shared" si="60"/>
        <v>0</v>
      </c>
      <c r="D75" s="318">
        <f t="shared" si="51"/>
        <v>6592</v>
      </c>
      <c r="E75" s="317"/>
      <c r="F75" s="62">
        <f>B75</f>
        <v>6592</v>
      </c>
      <c r="G75" s="62"/>
      <c r="H75" s="62"/>
      <c r="I75" s="62"/>
      <c r="J75" s="62"/>
      <c r="K75" s="62"/>
      <c r="L75" s="62"/>
      <c r="M75" s="62"/>
      <c r="N75" s="62"/>
      <c r="O75" s="62"/>
      <c r="P75" s="316"/>
    </row>
    <row r="76" spans="1:16" x14ac:dyDescent="0.35">
      <c r="A76" s="321" t="s">
        <v>367</v>
      </c>
      <c r="B76" s="314">
        <f>'5-Year DANN System'!C176</f>
        <v>20781.300000000003</v>
      </c>
      <c r="C76" s="319">
        <f t="shared" si="60"/>
        <v>0</v>
      </c>
      <c r="D76" s="318">
        <f t="shared" si="51"/>
        <v>20781.300000000003</v>
      </c>
      <c r="E76" s="317"/>
      <c r="F76" s="62"/>
      <c r="G76" s="62">
        <f>B76*0.7</f>
        <v>14546.910000000002</v>
      </c>
      <c r="H76" s="62"/>
      <c r="I76" s="62"/>
      <c r="J76" s="62"/>
      <c r="K76" s="62">
        <f>B76*0.3</f>
        <v>6234.39</v>
      </c>
      <c r="L76" s="62"/>
      <c r="M76" s="62"/>
      <c r="N76" s="62"/>
      <c r="O76" s="62"/>
      <c r="P76" s="316"/>
    </row>
    <row r="77" spans="1:16" x14ac:dyDescent="0.35">
      <c r="A77" s="321" t="s">
        <v>122</v>
      </c>
      <c r="B77" s="314">
        <f>'5-Year DANN System'!C177</f>
        <v>19615.3</v>
      </c>
      <c r="C77" s="319">
        <f t="shared" si="60"/>
        <v>0</v>
      </c>
      <c r="D77" s="318">
        <f t="shared" si="51"/>
        <v>19615.3</v>
      </c>
      <c r="E77" s="317"/>
      <c r="F77" s="62"/>
      <c r="G77" s="62">
        <f>B77*0.7</f>
        <v>13730.71</v>
      </c>
      <c r="H77" s="62"/>
      <c r="I77" s="62"/>
      <c r="J77" s="62"/>
      <c r="K77" s="62">
        <f>B77*0.3</f>
        <v>5884.5899999999992</v>
      </c>
      <c r="L77" s="62"/>
      <c r="M77" s="62"/>
      <c r="N77" s="62"/>
      <c r="O77" s="62"/>
      <c r="P77" s="316"/>
    </row>
    <row r="78" spans="1:16" x14ac:dyDescent="0.35">
      <c r="A78" s="321" t="s">
        <v>123</v>
      </c>
      <c r="B78" s="314">
        <f>'5-Year DANN System'!C178</f>
        <v>28360.3</v>
      </c>
      <c r="C78" s="319">
        <f t="shared" si="60"/>
        <v>0</v>
      </c>
      <c r="D78" s="318">
        <f t="shared" si="51"/>
        <v>28360.3</v>
      </c>
      <c r="E78" s="317"/>
      <c r="F78" s="62"/>
      <c r="G78" s="62">
        <f>B78*0.7</f>
        <v>19852.21</v>
      </c>
      <c r="H78" s="62"/>
      <c r="I78" s="62"/>
      <c r="J78" s="62"/>
      <c r="K78" s="62">
        <f>B78*0.3</f>
        <v>8508.09</v>
      </c>
      <c r="L78" s="62"/>
      <c r="M78" s="62"/>
      <c r="N78" s="62"/>
      <c r="O78" s="62"/>
      <c r="P78" s="316"/>
    </row>
    <row r="79" spans="1:16" x14ac:dyDescent="0.35">
      <c r="A79" s="321" t="s">
        <v>126</v>
      </c>
      <c r="B79" s="314">
        <f>'5-Year DANN System'!C181</f>
        <v>263115.20000000007</v>
      </c>
      <c r="C79" s="319">
        <f t="shared" si="60"/>
        <v>0</v>
      </c>
      <c r="D79" s="318">
        <f t="shared" si="51"/>
        <v>263115.20000000013</v>
      </c>
      <c r="E79" s="317"/>
      <c r="F79" s="322">
        <f>B79/11</f>
        <v>23919.563636363644</v>
      </c>
      <c r="G79" s="62">
        <f t="shared" ref="G79:P79" si="70">F79</f>
        <v>23919.563636363644</v>
      </c>
      <c r="H79" s="62">
        <f t="shared" si="70"/>
        <v>23919.563636363644</v>
      </c>
      <c r="I79" s="62">
        <f t="shared" si="70"/>
        <v>23919.563636363644</v>
      </c>
      <c r="J79" s="62">
        <f t="shared" si="70"/>
        <v>23919.563636363644</v>
      </c>
      <c r="K79" s="62">
        <f t="shared" si="70"/>
        <v>23919.563636363644</v>
      </c>
      <c r="L79" s="62">
        <f t="shared" si="70"/>
        <v>23919.563636363644</v>
      </c>
      <c r="M79" s="62">
        <f t="shared" si="70"/>
        <v>23919.563636363644</v>
      </c>
      <c r="N79" s="62">
        <f t="shared" si="70"/>
        <v>23919.563636363644</v>
      </c>
      <c r="O79" s="62">
        <f t="shared" si="70"/>
        <v>23919.563636363644</v>
      </c>
      <c r="P79" s="316">
        <f t="shared" si="70"/>
        <v>23919.563636363644</v>
      </c>
    </row>
    <row r="80" spans="1:16" x14ac:dyDescent="0.35">
      <c r="A80" s="321" t="s">
        <v>127</v>
      </c>
      <c r="B80" s="314">
        <f>'5-Year DANN System'!C182</f>
        <v>6500</v>
      </c>
      <c r="C80" s="319">
        <f t="shared" si="60"/>
        <v>0</v>
      </c>
      <c r="D80" s="318">
        <f t="shared" si="51"/>
        <v>6500</v>
      </c>
      <c r="E80" s="317">
        <v>2500</v>
      </c>
      <c r="F80" s="62">
        <v>2500</v>
      </c>
      <c r="G80" s="62">
        <v>1500</v>
      </c>
      <c r="H80" s="62"/>
      <c r="I80" s="62"/>
      <c r="J80" s="62"/>
      <c r="K80" s="62"/>
      <c r="L80" s="62"/>
      <c r="M80" s="62"/>
      <c r="N80" s="62"/>
      <c r="O80" s="62"/>
      <c r="P80" s="316"/>
    </row>
    <row r="81" spans="1:16" x14ac:dyDescent="0.35">
      <c r="A81" s="321" t="s">
        <v>128</v>
      </c>
      <c r="B81" s="314">
        <f>'5-Year DANN System'!C183</f>
        <v>2500</v>
      </c>
      <c r="C81" s="319">
        <f t="shared" si="60"/>
        <v>0</v>
      </c>
      <c r="D81" s="318">
        <f t="shared" si="51"/>
        <v>2500</v>
      </c>
      <c r="E81" s="317">
        <v>1250</v>
      </c>
      <c r="F81" s="62">
        <v>1250</v>
      </c>
      <c r="G81" s="62"/>
      <c r="H81" s="62"/>
      <c r="I81" s="62"/>
      <c r="J81" s="62">
        <v>0</v>
      </c>
      <c r="K81" s="62"/>
      <c r="L81" s="62"/>
      <c r="M81" s="62"/>
      <c r="N81" s="62"/>
      <c r="O81" s="62"/>
      <c r="P81" s="316"/>
    </row>
    <row r="82" spans="1:16" x14ac:dyDescent="0.35">
      <c r="A82" s="321" t="s">
        <v>129</v>
      </c>
      <c r="B82" s="314">
        <f>'5-Year DANN System'!C184</f>
        <v>1500</v>
      </c>
      <c r="C82" s="319">
        <f t="shared" si="60"/>
        <v>0</v>
      </c>
      <c r="D82" s="318">
        <f t="shared" si="51"/>
        <v>1500.0000000000005</v>
      </c>
      <c r="E82" s="317"/>
      <c r="F82" s="62">
        <f>B82/11</f>
        <v>136.36363636363637</v>
      </c>
      <c r="G82" s="62">
        <f t="shared" ref="G82:P82" si="71">F82</f>
        <v>136.36363636363637</v>
      </c>
      <c r="H82" s="62">
        <f t="shared" si="71"/>
        <v>136.36363636363637</v>
      </c>
      <c r="I82" s="62">
        <f t="shared" si="71"/>
        <v>136.36363636363637</v>
      </c>
      <c r="J82" s="62">
        <f t="shared" si="71"/>
        <v>136.36363636363637</v>
      </c>
      <c r="K82" s="62">
        <f t="shared" si="71"/>
        <v>136.36363636363637</v>
      </c>
      <c r="L82" s="62">
        <f t="shared" si="71"/>
        <v>136.36363636363637</v>
      </c>
      <c r="M82" s="62">
        <f t="shared" si="71"/>
        <v>136.36363636363637</v>
      </c>
      <c r="N82" s="62">
        <f t="shared" si="71"/>
        <v>136.36363636363637</v>
      </c>
      <c r="O82" s="62">
        <f t="shared" si="71"/>
        <v>136.36363636363637</v>
      </c>
      <c r="P82" s="316">
        <f t="shared" si="71"/>
        <v>136.36363636363637</v>
      </c>
    </row>
    <row r="83" spans="1:16" x14ac:dyDescent="0.35">
      <c r="A83" s="321" t="s">
        <v>130</v>
      </c>
      <c r="B83" s="314">
        <f>'5-Year DANN System'!C185</f>
        <v>18000</v>
      </c>
      <c r="C83" s="319">
        <f t="shared" si="60"/>
        <v>0</v>
      </c>
      <c r="D83" s="318">
        <f t="shared" si="51"/>
        <v>18000</v>
      </c>
      <c r="E83" s="317"/>
      <c r="F83" s="62">
        <f>B83/11</f>
        <v>1636.3636363636363</v>
      </c>
      <c r="G83" s="62">
        <f t="shared" ref="G83:P83" si="72">F83</f>
        <v>1636.3636363636363</v>
      </c>
      <c r="H83" s="62">
        <f t="shared" si="72"/>
        <v>1636.3636363636363</v>
      </c>
      <c r="I83" s="62">
        <f t="shared" si="72"/>
        <v>1636.3636363636363</v>
      </c>
      <c r="J83" s="62">
        <f t="shared" si="72"/>
        <v>1636.3636363636363</v>
      </c>
      <c r="K83" s="62">
        <f t="shared" si="72"/>
        <v>1636.3636363636363</v>
      </c>
      <c r="L83" s="62">
        <f t="shared" si="72"/>
        <v>1636.3636363636363</v>
      </c>
      <c r="M83" s="62">
        <f t="shared" si="72"/>
        <v>1636.3636363636363</v>
      </c>
      <c r="N83" s="62">
        <f t="shared" si="72"/>
        <v>1636.3636363636363</v>
      </c>
      <c r="O83" s="62">
        <f t="shared" si="72"/>
        <v>1636.3636363636363</v>
      </c>
      <c r="P83" s="316">
        <f t="shared" si="72"/>
        <v>1636.3636363636363</v>
      </c>
    </row>
    <row r="84" spans="1:16" x14ac:dyDescent="0.35">
      <c r="A84" s="321" t="s">
        <v>133</v>
      </c>
      <c r="B84" s="314">
        <f>'5-Year DANN System'!C188</f>
        <v>0</v>
      </c>
      <c r="C84" s="319">
        <f t="shared" si="60"/>
        <v>0</v>
      </c>
      <c r="D84" s="318">
        <f t="shared" ref="D84:D101" si="73">SUM(E84:P84)</f>
        <v>0</v>
      </c>
      <c r="E84" s="317"/>
      <c r="F84" s="62">
        <f>B84/11</f>
        <v>0</v>
      </c>
      <c r="G84" s="62">
        <f t="shared" ref="G84:P84" si="74">F84</f>
        <v>0</v>
      </c>
      <c r="H84" s="62">
        <f t="shared" si="74"/>
        <v>0</v>
      </c>
      <c r="I84" s="62">
        <f t="shared" si="74"/>
        <v>0</v>
      </c>
      <c r="J84" s="62">
        <f t="shared" si="74"/>
        <v>0</v>
      </c>
      <c r="K84" s="62">
        <f t="shared" si="74"/>
        <v>0</v>
      </c>
      <c r="L84" s="62">
        <f t="shared" si="74"/>
        <v>0</v>
      </c>
      <c r="M84" s="62">
        <f t="shared" si="74"/>
        <v>0</v>
      </c>
      <c r="N84" s="62">
        <f t="shared" si="74"/>
        <v>0</v>
      </c>
      <c r="O84" s="62">
        <f t="shared" si="74"/>
        <v>0</v>
      </c>
      <c r="P84" s="316">
        <f t="shared" si="74"/>
        <v>0</v>
      </c>
    </row>
    <row r="85" spans="1:16" x14ac:dyDescent="0.35">
      <c r="A85" s="287" t="s">
        <v>366</v>
      </c>
      <c r="B85" s="314">
        <f>'5-Year DANN System'!C186</f>
        <v>0</v>
      </c>
      <c r="C85" s="319"/>
      <c r="D85" s="318">
        <f t="shared" si="73"/>
        <v>0</v>
      </c>
      <c r="E85" s="317"/>
      <c r="F85" s="62">
        <v>0</v>
      </c>
      <c r="G85" s="62">
        <f>B85/10</f>
        <v>0</v>
      </c>
      <c r="H85" s="62">
        <f t="shared" ref="H85:P85" si="75">G85</f>
        <v>0</v>
      </c>
      <c r="I85" s="62">
        <f t="shared" si="75"/>
        <v>0</v>
      </c>
      <c r="J85" s="62">
        <f t="shared" si="75"/>
        <v>0</v>
      </c>
      <c r="K85" s="62">
        <f t="shared" si="75"/>
        <v>0</v>
      </c>
      <c r="L85" s="62">
        <f t="shared" si="75"/>
        <v>0</v>
      </c>
      <c r="M85" s="62">
        <f t="shared" si="75"/>
        <v>0</v>
      </c>
      <c r="N85" s="62">
        <f t="shared" si="75"/>
        <v>0</v>
      </c>
      <c r="O85" s="62">
        <f t="shared" si="75"/>
        <v>0</v>
      </c>
      <c r="P85" s="316">
        <f t="shared" si="75"/>
        <v>0</v>
      </c>
    </row>
    <row r="86" spans="1:16" x14ac:dyDescent="0.35">
      <c r="A86" s="321" t="s">
        <v>134</v>
      </c>
      <c r="B86" s="314">
        <f>'5-Year DANN System'!C189</f>
        <v>3500</v>
      </c>
      <c r="C86" s="319">
        <f t="shared" ref="C86:C94" si="76">D86-B86</f>
        <v>0</v>
      </c>
      <c r="D86" s="318">
        <f t="shared" si="73"/>
        <v>3499.9999999999995</v>
      </c>
      <c r="E86" s="317"/>
      <c r="F86" s="62">
        <f>B86/11</f>
        <v>318.18181818181819</v>
      </c>
      <c r="G86" s="62">
        <f t="shared" ref="G86:G99" si="77">F86</f>
        <v>318.18181818181819</v>
      </c>
      <c r="H86" s="62">
        <f t="shared" ref="H86:P86" si="78">G86</f>
        <v>318.18181818181819</v>
      </c>
      <c r="I86" s="62">
        <f t="shared" si="78"/>
        <v>318.18181818181819</v>
      </c>
      <c r="J86" s="62">
        <f t="shared" si="78"/>
        <v>318.18181818181819</v>
      </c>
      <c r="K86" s="62">
        <f t="shared" si="78"/>
        <v>318.18181818181819</v>
      </c>
      <c r="L86" s="62">
        <f t="shared" si="78"/>
        <v>318.18181818181819</v>
      </c>
      <c r="M86" s="62">
        <f t="shared" si="78"/>
        <v>318.18181818181819</v>
      </c>
      <c r="N86" s="62">
        <f t="shared" si="78"/>
        <v>318.18181818181819</v>
      </c>
      <c r="O86" s="62">
        <f t="shared" si="78"/>
        <v>318.18181818181819</v>
      </c>
      <c r="P86" s="316">
        <f t="shared" si="78"/>
        <v>318.18181818181819</v>
      </c>
    </row>
    <row r="87" spans="1:16" x14ac:dyDescent="0.35">
      <c r="A87" s="321" t="s">
        <v>137</v>
      </c>
      <c r="B87" s="314">
        <f>'5-Year DANN System'!C192</f>
        <v>92528.88</v>
      </c>
      <c r="C87" s="319">
        <f t="shared" si="76"/>
        <v>0</v>
      </c>
      <c r="D87" s="318">
        <f t="shared" si="73"/>
        <v>92528.880000000019</v>
      </c>
      <c r="E87" s="317"/>
      <c r="F87" s="62">
        <f>B87/11</f>
        <v>8411.7163636363639</v>
      </c>
      <c r="G87" s="62">
        <f t="shared" si="77"/>
        <v>8411.7163636363639</v>
      </c>
      <c r="H87" s="62">
        <f t="shared" ref="H87:P87" si="79">G87</f>
        <v>8411.7163636363639</v>
      </c>
      <c r="I87" s="62">
        <f t="shared" si="79"/>
        <v>8411.7163636363639</v>
      </c>
      <c r="J87" s="62">
        <f t="shared" si="79"/>
        <v>8411.7163636363639</v>
      </c>
      <c r="K87" s="62">
        <f t="shared" si="79"/>
        <v>8411.7163636363639</v>
      </c>
      <c r="L87" s="62">
        <f t="shared" si="79"/>
        <v>8411.7163636363639</v>
      </c>
      <c r="M87" s="62">
        <f t="shared" si="79"/>
        <v>8411.7163636363639</v>
      </c>
      <c r="N87" s="62">
        <f t="shared" si="79"/>
        <v>8411.7163636363639</v>
      </c>
      <c r="O87" s="62">
        <f t="shared" si="79"/>
        <v>8411.7163636363639</v>
      </c>
      <c r="P87" s="316">
        <f t="shared" si="79"/>
        <v>8411.7163636363639</v>
      </c>
    </row>
    <row r="88" spans="1:16" x14ac:dyDescent="0.35">
      <c r="A88" s="321" t="s">
        <v>138</v>
      </c>
      <c r="B88" s="314">
        <f>'5-Year DANN System'!C193</f>
        <v>3914</v>
      </c>
      <c r="C88" s="319">
        <f t="shared" si="76"/>
        <v>0</v>
      </c>
      <c r="D88" s="318">
        <f t="shared" si="73"/>
        <v>3914.0000000000009</v>
      </c>
      <c r="E88" s="317"/>
      <c r="F88" s="62">
        <f>B88/11</f>
        <v>355.81818181818181</v>
      </c>
      <c r="G88" s="62">
        <f t="shared" si="77"/>
        <v>355.81818181818181</v>
      </c>
      <c r="H88" s="62">
        <f t="shared" ref="H88:P88" si="80">G88</f>
        <v>355.81818181818181</v>
      </c>
      <c r="I88" s="62">
        <f t="shared" si="80"/>
        <v>355.81818181818181</v>
      </c>
      <c r="J88" s="62">
        <f t="shared" si="80"/>
        <v>355.81818181818181</v>
      </c>
      <c r="K88" s="62">
        <f t="shared" si="80"/>
        <v>355.81818181818181</v>
      </c>
      <c r="L88" s="62">
        <f t="shared" si="80"/>
        <v>355.81818181818181</v>
      </c>
      <c r="M88" s="62">
        <f t="shared" si="80"/>
        <v>355.81818181818181</v>
      </c>
      <c r="N88" s="62">
        <f t="shared" si="80"/>
        <v>355.81818181818181</v>
      </c>
      <c r="O88" s="62">
        <f t="shared" si="80"/>
        <v>355.81818181818181</v>
      </c>
      <c r="P88" s="316">
        <f t="shared" si="80"/>
        <v>355.81818181818181</v>
      </c>
    </row>
    <row r="89" spans="1:16" x14ac:dyDescent="0.35">
      <c r="A89" s="321" t="s">
        <v>365</v>
      </c>
      <c r="B89" s="314">
        <f>'5-Year DANN System'!C194</f>
        <v>10548</v>
      </c>
      <c r="C89" s="319">
        <f t="shared" si="76"/>
        <v>0</v>
      </c>
      <c r="D89" s="318">
        <f t="shared" si="73"/>
        <v>10547.999999999998</v>
      </c>
      <c r="E89" s="317"/>
      <c r="F89" s="62">
        <f>B89/11</f>
        <v>958.90909090909088</v>
      </c>
      <c r="G89" s="62">
        <f t="shared" si="77"/>
        <v>958.90909090909088</v>
      </c>
      <c r="H89" s="62">
        <f t="shared" ref="H89:P89" si="81">G89</f>
        <v>958.90909090909088</v>
      </c>
      <c r="I89" s="62">
        <f t="shared" si="81"/>
        <v>958.90909090909088</v>
      </c>
      <c r="J89" s="62">
        <f t="shared" si="81"/>
        <v>958.90909090909088</v>
      </c>
      <c r="K89" s="62">
        <f t="shared" si="81"/>
        <v>958.90909090909088</v>
      </c>
      <c r="L89" s="62">
        <f t="shared" si="81"/>
        <v>958.90909090909088</v>
      </c>
      <c r="M89" s="62">
        <f t="shared" si="81"/>
        <v>958.90909090909088</v>
      </c>
      <c r="N89" s="62">
        <f t="shared" si="81"/>
        <v>958.90909090909088</v>
      </c>
      <c r="O89" s="62">
        <f t="shared" si="81"/>
        <v>958.90909090909088</v>
      </c>
      <c r="P89" s="316">
        <f t="shared" si="81"/>
        <v>958.90909090909088</v>
      </c>
    </row>
    <row r="90" spans="1:16" x14ac:dyDescent="0.35">
      <c r="A90" s="321" t="s">
        <v>140</v>
      </c>
      <c r="B90" s="314">
        <f>'5-Year DANN System'!C195</f>
        <v>35604.016000000003</v>
      </c>
      <c r="C90" s="319">
        <f t="shared" si="76"/>
        <v>0</v>
      </c>
      <c r="D90" s="318">
        <f t="shared" si="73"/>
        <v>35604.015999999996</v>
      </c>
      <c r="E90" s="317"/>
      <c r="F90" s="62">
        <f>B90/11</f>
        <v>3236.7287272727276</v>
      </c>
      <c r="G90" s="62">
        <f t="shared" si="77"/>
        <v>3236.7287272727276</v>
      </c>
      <c r="H90" s="62">
        <f t="shared" ref="H90:P90" si="82">G90</f>
        <v>3236.7287272727276</v>
      </c>
      <c r="I90" s="62">
        <f t="shared" si="82"/>
        <v>3236.7287272727276</v>
      </c>
      <c r="J90" s="62">
        <f t="shared" si="82"/>
        <v>3236.7287272727276</v>
      </c>
      <c r="K90" s="62">
        <f t="shared" si="82"/>
        <v>3236.7287272727276</v>
      </c>
      <c r="L90" s="62">
        <f t="shared" si="82"/>
        <v>3236.7287272727276</v>
      </c>
      <c r="M90" s="62">
        <f t="shared" si="82"/>
        <v>3236.7287272727276</v>
      </c>
      <c r="N90" s="62">
        <f t="shared" si="82"/>
        <v>3236.7287272727276</v>
      </c>
      <c r="O90" s="62">
        <f t="shared" si="82"/>
        <v>3236.7287272727276</v>
      </c>
      <c r="P90" s="316">
        <f t="shared" si="82"/>
        <v>3236.7287272727276</v>
      </c>
    </row>
    <row r="91" spans="1:16" x14ac:dyDescent="0.35">
      <c r="A91" s="321" t="s">
        <v>141</v>
      </c>
      <c r="B91" s="314">
        <f>'5-Year DANN System'!C196</f>
        <v>14420</v>
      </c>
      <c r="C91" s="319">
        <f t="shared" si="76"/>
        <v>0</v>
      </c>
      <c r="D91" s="318">
        <f t="shared" si="73"/>
        <v>14420</v>
      </c>
      <c r="E91" s="317">
        <v>8000</v>
      </c>
      <c r="F91" s="62"/>
      <c r="G91" s="62">
        <f t="shared" si="77"/>
        <v>0</v>
      </c>
      <c r="H91" s="62">
        <f t="shared" ref="H91:I99" si="83">G91</f>
        <v>0</v>
      </c>
      <c r="I91" s="62">
        <f t="shared" si="83"/>
        <v>0</v>
      </c>
      <c r="J91" s="62">
        <v>3300</v>
      </c>
      <c r="K91" s="62">
        <v>3120</v>
      </c>
      <c r="L91" s="62"/>
      <c r="M91" s="62"/>
      <c r="N91" s="62"/>
      <c r="O91" s="62"/>
      <c r="P91" s="316"/>
    </row>
    <row r="92" spans="1:16" x14ac:dyDescent="0.35">
      <c r="A92" s="321" t="s">
        <v>142</v>
      </c>
      <c r="B92" s="314">
        <f>'5-Year DANN System'!C197</f>
        <v>202342.196</v>
      </c>
      <c r="C92" s="319">
        <f t="shared" si="76"/>
        <v>0</v>
      </c>
      <c r="D92" s="318">
        <f t="shared" si="73"/>
        <v>202342.19600000005</v>
      </c>
      <c r="E92" s="317"/>
      <c r="F92" s="62">
        <f>B92/11</f>
        <v>18394.745090909091</v>
      </c>
      <c r="G92" s="62">
        <f t="shared" si="77"/>
        <v>18394.745090909091</v>
      </c>
      <c r="H92" s="62">
        <f t="shared" si="83"/>
        <v>18394.745090909091</v>
      </c>
      <c r="I92" s="62">
        <f t="shared" si="83"/>
        <v>18394.745090909091</v>
      </c>
      <c r="J92" s="62">
        <f t="shared" ref="J92:P99" si="84">I92</f>
        <v>18394.745090909091</v>
      </c>
      <c r="K92" s="62">
        <f t="shared" si="84"/>
        <v>18394.745090909091</v>
      </c>
      <c r="L92" s="62">
        <f t="shared" si="84"/>
        <v>18394.745090909091</v>
      </c>
      <c r="M92" s="62">
        <f t="shared" si="84"/>
        <v>18394.745090909091</v>
      </c>
      <c r="N92" s="62">
        <f t="shared" si="84"/>
        <v>18394.745090909091</v>
      </c>
      <c r="O92" s="62">
        <f t="shared" si="84"/>
        <v>18394.745090909091</v>
      </c>
      <c r="P92" s="316">
        <f t="shared" si="84"/>
        <v>18394.745090909091</v>
      </c>
    </row>
    <row r="93" spans="1:16" x14ac:dyDescent="0.35">
      <c r="A93" s="321" t="s">
        <v>143</v>
      </c>
      <c r="B93" s="314">
        <f>'5-Year DANN System'!C198</f>
        <v>49280</v>
      </c>
      <c r="C93" s="319">
        <f t="shared" si="76"/>
        <v>0</v>
      </c>
      <c r="D93" s="318">
        <f t="shared" si="73"/>
        <v>49279.999999999993</v>
      </c>
      <c r="E93" s="317">
        <f>5000</f>
        <v>5000</v>
      </c>
      <c r="F93" s="62">
        <f>(B93-E93)/11</f>
        <v>4025.4545454545455</v>
      </c>
      <c r="G93" s="62">
        <f t="shared" si="77"/>
        <v>4025.4545454545455</v>
      </c>
      <c r="H93" s="62">
        <f t="shared" si="83"/>
        <v>4025.4545454545455</v>
      </c>
      <c r="I93" s="62">
        <f t="shared" si="83"/>
        <v>4025.4545454545455</v>
      </c>
      <c r="J93" s="62">
        <f t="shared" si="84"/>
        <v>4025.4545454545455</v>
      </c>
      <c r="K93" s="62">
        <f t="shared" si="84"/>
        <v>4025.4545454545455</v>
      </c>
      <c r="L93" s="62">
        <f t="shared" si="84"/>
        <v>4025.4545454545455</v>
      </c>
      <c r="M93" s="62">
        <f t="shared" si="84"/>
        <v>4025.4545454545455</v>
      </c>
      <c r="N93" s="62">
        <f t="shared" si="84"/>
        <v>4025.4545454545455</v>
      </c>
      <c r="O93" s="62">
        <f t="shared" si="84"/>
        <v>4025.4545454545455</v>
      </c>
      <c r="P93" s="316">
        <f t="shared" si="84"/>
        <v>4025.4545454545455</v>
      </c>
    </row>
    <row r="94" spans="1:16" x14ac:dyDescent="0.35">
      <c r="A94" s="321" t="s">
        <v>145</v>
      </c>
      <c r="B94" s="314">
        <f>'5-Year DANN System'!C199</f>
        <v>62500</v>
      </c>
      <c r="C94" s="319">
        <f t="shared" si="76"/>
        <v>0</v>
      </c>
      <c r="D94" s="318">
        <f t="shared" si="73"/>
        <v>62500.000000000015</v>
      </c>
      <c r="E94" s="317"/>
      <c r="F94" s="62">
        <f t="shared" ref="F94:F99" si="85">B94/11</f>
        <v>5681.818181818182</v>
      </c>
      <c r="G94" s="62">
        <f t="shared" si="77"/>
        <v>5681.818181818182</v>
      </c>
      <c r="H94" s="62">
        <f t="shared" si="83"/>
        <v>5681.818181818182</v>
      </c>
      <c r="I94" s="62">
        <f t="shared" si="83"/>
        <v>5681.818181818182</v>
      </c>
      <c r="J94" s="62">
        <f t="shared" si="84"/>
        <v>5681.818181818182</v>
      </c>
      <c r="K94" s="62">
        <f t="shared" si="84"/>
        <v>5681.818181818182</v>
      </c>
      <c r="L94" s="62">
        <f t="shared" si="84"/>
        <v>5681.818181818182</v>
      </c>
      <c r="M94" s="62">
        <f t="shared" si="84"/>
        <v>5681.818181818182</v>
      </c>
      <c r="N94" s="62">
        <f t="shared" si="84"/>
        <v>5681.818181818182</v>
      </c>
      <c r="O94" s="62">
        <f t="shared" si="84"/>
        <v>5681.818181818182</v>
      </c>
      <c r="P94" s="316">
        <f t="shared" si="84"/>
        <v>5681.818181818182</v>
      </c>
    </row>
    <row r="95" spans="1:16" x14ac:dyDescent="0.35">
      <c r="A95" s="321" t="s">
        <v>364</v>
      </c>
      <c r="B95" s="314">
        <f>'5-Year DANN System'!C200</f>
        <v>28143.101999999999</v>
      </c>
      <c r="C95" s="319"/>
      <c r="D95" s="318">
        <f t="shared" si="73"/>
        <v>28143.102000000006</v>
      </c>
      <c r="E95" s="317"/>
      <c r="F95" s="62">
        <f t="shared" si="85"/>
        <v>2558.4638181818182</v>
      </c>
      <c r="G95" s="62">
        <f t="shared" si="77"/>
        <v>2558.4638181818182</v>
      </c>
      <c r="H95" s="62">
        <f t="shared" si="83"/>
        <v>2558.4638181818182</v>
      </c>
      <c r="I95" s="62">
        <f t="shared" si="83"/>
        <v>2558.4638181818182</v>
      </c>
      <c r="J95" s="62">
        <f t="shared" si="84"/>
        <v>2558.4638181818182</v>
      </c>
      <c r="K95" s="62">
        <f t="shared" si="84"/>
        <v>2558.4638181818182</v>
      </c>
      <c r="L95" s="62">
        <f t="shared" si="84"/>
        <v>2558.4638181818182</v>
      </c>
      <c r="M95" s="62">
        <f t="shared" si="84"/>
        <v>2558.4638181818182</v>
      </c>
      <c r="N95" s="62">
        <f t="shared" si="84"/>
        <v>2558.4638181818182</v>
      </c>
      <c r="O95" s="62">
        <f t="shared" si="84"/>
        <v>2558.4638181818182</v>
      </c>
      <c r="P95" s="316">
        <f t="shared" si="84"/>
        <v>2558.4638181818182</v>
      </c>
    </row>
    <row r="96" spans="1:16" x14ac:dyDescent="0.35">
      <c r="A96" s="321" t="s">
        <v>146</v>
      </c>
      <c r="B96" s="314">
        <f>'5-Year DANN System'!C201</f>
        <v>25500</v>
      </c>
      <c r="C96" s="319">
        <f t="shared" ref="C96:C101" si="86">D96-B96</f>
        <v>0</v>
      </c>
      <c r="D96" s="318">
        <f t="shared" si="73"/>
        <v>25499.999999999993</v>
      </c>
      <c r="E96" s="317"/>
      <c r="F96" s="62">
        <f t="shared" si="85"/>
        <v>2318.181818181818</v>
      </c>
      <c r="G96" s="62">
        <f t="shared" si="77"/>
        <v>2318.181818181818</v>
      </c>
      <c r="H96" s="62">
        <f t="shared" si="83"/>
        <v>2318.181818181818</v>
      </c>
      <c r="I96" s="62">
        <f t="shared" si="83"/>
        <v>2318.181818181818</v>
      </c>
      <c r="J96" s="62">
        <f t="shared" si="84"/>
        <v>2318.181818181818</v>
      </c>
      <c r="K96" s="62">
        <f t="shared" si="84"/>
        <v>2318.181818181818</v>
      </c>
      <c r="L96" s="62">
        <f t="shared" si="84"/>
        <v>2318.181818181818</v>
      </c>
      <c r="M96" s="62">
        <f t="shared" si="84"/>
        <v>2318.181818181818</v>
      </c>
      <c r="N96" s="62">
        <f t="shared" si="84"/>
        <v>2318.181818181818</v>
      </c>
      <c r="O96" s="62">
        <f t="shared" si="84"/>
        <v>2318.181818181818</v>
      </c>
      <c r="P96" s="316">
        <f t="shared" si="84"/>
        <v>2318.181818181818</v>
      </c>
    </row>
    <row r="97" spans="1:17" x14ac:dyDescent="0.35">
      <c r="A97" s="321" t="s">
        <v>148</v>
      </c>
      <c r="B97" s="314">
        <f>'5-Year DANN System'!C202</f>
        <v>19417.560000000001</v>
      </c>
      <c r="C97" s="319">
        <f t="shared" si="86"/>
        <v>0</v>
      </c>
      <c r="D97" s="318">
        <f t="shared" si="73"/>
        <v>19417.560000000001</v>
      </c>
      <c r="E97" s="317"/>
      <c r="F97" s="62">
        <f t="shared" si="85"/>
        <v>1765.2327272727273</v>
      </c>
      <c r="G97" s="62">
        <f t="shared" si="77"/>
        <v>1765.2327272727273</v>
      </c>
      <c r="H97" s="62">
        <f t="shared" si="83"/>
        <v>1765.2327272727273</v>
      </c>
      <c r="I97" s="62">
        <f t="shared" si="83"/>
        <v>1765.2327272727273</v>
      </c>
      <c r="J97" s="62">
        <f t="shared" si="84"/>
        <v>1765.2327272727273</v>
      </c>
      <c r="K97" s="62">
        <f t="shared" si="84"/>
        <v>1765.2327272727273</v>
      </c>
      <c r="L97" s="62">
        <f t="shared" si="84"/>
        <v>1765.2327272727273</v>
      </c>
      <c r="M97" s="62">
        <f t="shared" si="84"/>
        <v>1765.2327272727273</v>
      </c>
      <c r="N97" s="62">
        <f t="shared" si="84"/>
        <v>1765.2327272727273</v>
      </c>
      <c r="O97" s="62">
        <f t="shared" si="84"/>
        <v>1765.2327272727273</v>
      </c>
      <c r="P97" s="316">
        <f t="shared" si="84"/>
        <v>1765.2327272727273</v>
      </c>
    </row>
    <row r="98" spans="1:17" x14ac:dyDescent="0.35">
      <c r="A98" s="320" t="s">
        <v>363</v>
      </c>
      <c r="B98" s="314">
        <f>'5-Year DANN System'!C206</f>
        <v>0</v>
      </c>
      <c r="C98" s="319">
        <f t="shared" si="86"/>
        <v>0</v>
      </c>
      <c r="D98" s="318">
        <f t="shared" si="73"/>
        <v>0</v>
      </c>
      <c r="E98" s="317"/>
      <c r="F98" s="62">
        <f t="shared" si="85"/>
        <v>0</v>
      </c>
      <c r="G98" s="62">
        <f t="shared" si="77"/>
        <v>0</v>
      </c>
      <c r="H98" s="62">
        <f t="shared" si="83"/>
        <v>0</v>
      </c>
      <c r="I98" s="62">
        <f t="shared" si="83"/>
        <v>0</v>
      </c>
      <c r="J98" s="62">
        <f t="shared" si="84"/>
        <v>0</v>
      </c>
      <c r="K98" s="62">
        <f t="shared" si="84"/>
        <v>0</v>
      </c>
      <c r="L98" s="62">
        <f t="shared" si="84"/>
        <v>0</v>
      </c>
      <c r="M98" s="62">
        <f t="shared" si="84"/>
        <v>0</v>
      </c>
      <c r="N98" s="62">
        <f t="shared" si="84"/>
        <v>0</v>
      </c>
      <c r="O98" s="62">
        <f t="shared" si="84"/>
        <v>0</v>
      </c>
      <c r="P98" s="316">
        <f t="shared" si="84"/>
        <v>0</v>
      </c>
    </row>
    <row r="99" spans="1:17" x14ac:dyDescent="0.35">
      <c r="A99" s="320" t="s">
        <v>151</v>
      </c>
      <c r="B99" s="314">
        <f>'5-Year DANN System'!C207</f>
        <v>600000</v>
      </c>
      <c r="C99" s="319">
        <f t="shared" si="86"/>
        <v>0</v>
      </c>
      <c r="D99" s="318">
        <f t="shared" si="73"/>
        <v>600000</v>
      </c>
      <c r="E99" s="317"/>
      <c r="F99" s="62">
        <f t="shared" si="85"/>
        <v>54545.454545454544</v>
      </c>
      <c r="G99" s="62">
        <f t="shared" si="77"/>
        <v>54545.454545454544</v>
      </c>
      <c r="H99" s="62">
        <f t="shared" si="83"/>
        <v>54545.454545454544</v>
      </c>
      <c r="I99" s="62">
        <f t="shared" si="83"/>
        <v>54545.454545454544</v>
      </c>
      <c r="J99" s="62">
        <f t="shared" si="84"/>
        <v>54545.454545454544</v>
      </c>
      <c r="K99" s="62">
        <f t="shared" si="84"/>
        <v>54545.454545454544</v>
      </c>
      <c r="L99" s="62">
        <f t="shared" si="84"/>
        <v>54545.454545454544</v>
      </c>
      <c r="M99" s="62">
        <f t="shared" si="84"/>
        <v>54545.454545454544</v>
      </c>
      <c r="N99" s="62">
        <f t="shared" si="84"/>
        <v>54545.454545454544</v>
      </c>
      <c r="O99" s="62">
        <f t="shared" si="84"/>
        <v>54545.454545454544</v>
      </c>
      <c r="P99" s="316">
        <f t="shared" si="84"/>
        <v>54545.454545454544</v>
      </c>
    </row>
    <row r="100" spans="1:17" x14ac:dyDescent="0.35">
      <c r="A100" s="320" t="s">
        <v>152</v>
      </c>
      <c r="B100" s="314">
        <f>'5-Year DANN System'!C208</f>
        <v>1114865</v>
      </c>
      <c r="C100" s="319">
        <f t="shared" si="86"/>
        <v>-1114865</v>
      </c>
      <c r="D100" s="318">
        <f t="shared" si="73"/>
        <v>0</v>
      </c>
      <c r="E100" s="317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316"/>
    </row>
    <row r="101" spans="1:17" ht="15" thickBot="1" x14ac:dyDescent="0.4">
      <c r="A101" s="315" t="s">
        <v>362</v>
      </c>
      <c r="B101" s="314">
        <f>'5-Year DANN System'!C209</f>
        <v>0</v>
      </c>
      <c r="C101" s="313">
        <f t="shared" si="86"/>
        <v>0</v>
      </c>
      <c r="D101" s="312">
        <f t="shared" si="73"/>
        <v>0</v>
      </c>
      <c r="E101" s="311"/>
      <c r="F101" s="46"/>
      <c r="G101" s="46"/>
      <c r="H101" s="46"/>
      <c r="I101" s="46"/>
      <c r="J101" s="46"/>
      <c r="K101" s="46">
        <f>B101/2</f>
        <v>0</v>
      </c>
      <c r="L101" s="46"/>
      <c r="M101" s="46"/>
      <c r="N101" s="46"/>
      <c r="O101" s="46"/>
      <c r="P101" s="310">
        <f>B101/2</f>
        <v>0</v>
      </c>
    </row>
    <row r="102" spans="1:17" ht="15" thickBot="1" x14ac:dyDescent="0.4">
      <c r="A102" s="309" t="s">
        <v>361</v>
      </c>
      <c r="B102" s="308">
        <f t="shared" ref="B102:P102" si="87">SUM(B20:B101)</f>
        <v>11708785.249312643</v>
      </c>
      <c r="C102" s="308">
        <f t="shared" si="87"/>
        <v>-1545040.4292631466</v>
      </c>
      <c r="D102" s="308">
        <f t="shared" si="87"/>
        <v>10163744.820049498</v>
      </c>
      <c r="E102" s="308">
        <f t="shared" si="87"/>
        <v>402498.68625968002</v>
      </c>
      <c r="F102" s="308">
        <f t="shared" si="87"/>
        <v>889178.22488998296</v>
      </c>
      <c r="G102" s="308">
        <f t="shared" si="87"/>
        <v>973958.37488998286</v>
      </c>
      <c r="H102" s="308">
        <f t="shared" si="87"/>
        <v>842312.22488998296</v>
      </c>
      <c r="I102" s="308">
        <f t="shared" si="87"/>
        <v>893483.72488998296</v>
      </c>
      <c r="J102" s="308">
        <f t="shared" si="87"/>
        <v>892797.16488998302</v>
      </c>
      <c r="K102" s="308">
        <f t="shared" si="87"/>
        <v>908921.79488998291</v>
      </c>
      <c r="L102" s="308">
        <f t="shared" si="87"/>
        <v>875370.72488998296</v>
      </c>
      <c r="M102" s="308">
        <f t="shared" si="87"/>
        <v>869499.72488998296</v>
      </c>
      <c r="N102" s="308">
        <f t="shared" si="87"/>
        <v>869499.72488998296</v>
      </c>
      <c r="O102" s="308">
        <f t="shared" si="87"/>
        <v>869499.72488998296</v>
      </c>
      <c r="P102" s="307">
        <f t="shared" si="87"/>
        <v>876724.72488998296</v>
      </c>
      <c r="Q102" s="306"/>
    </row>
    <row r="103" spans="1:17" x14ac:dyDescent="0.35">
      <c r="D103" s="305" t="s">
        <v>360</v>
      </c>
      <c r="E103" s="304">
        <f t="shared" ref="E103:P103" si="88">E17-E102</f>
        <v>534959.81374032004</v>
      </c>
      <c r="F103" s="304">
        <f t="shared" si="88"/>
        <v>48280.275110017043</v>
      </c>
      <c r="G103" s="304">
        <f t="shared" si="88"/>
        <v>35750.125110017136</v>
      </c>
      <c r="H103" s="304">
        <f t="shared" si="88"/>
        <v>167396.27511001704</v>
      </c>
      <c r="I103" s="304">
        <f t="shared" si="88"/>
        <v>116224.77511001704</v>
      </c>
      <c r="J103" s="304">
        <f t="shared" si="88"/>
        <v>116911.33511001698</v>
      </c>
      <c r="K103" s="304">
        <f t="shared" si="88"/>
        <v>100786.70511001709</v>
      </c>
      <c r="L103" s="304">
        <f t="shared" si="88"/>
        <v>134337.77511001704</v>
      </c>
      <c r="M103" s="304">
        <f t="shared" si="88"/>
        <v>140208.77511001704</v>
      </c>
      <c r="N103" s="304">
        <f t="shared" si="88"/>
        <v>140208.77511001704</v>
      </c>
      <c r="O103" s="304">
        <f t="shared" si="88"/>
        <v>140208.77511001704</v>
      </c>
      <c r="P103" s="304">
        <f t="shared" si="88"/>
        <v>132983.77511001704</v>
      </c>
      <c r="Q103" s="303"/>
    </row>
    <row r="104" spans="1:17" ht="15" thickBot="1" x14ac:dyDescent="0.4">
      <c r="C104"/>
      <c r="D104" s="302" t="s">
        <v>359</v>
      </c>
      <c r="E104" s="301">
        <f>E103</f>
        <v>534959.81374032004</v>
      </c>
      <c r="F104" s="301">
        <f t="shared" ref="F104:P104" si="89">E104+F103</f>
        <v>583240.08885033708</v>
      </c>
      <c r="G104" s="301">
        <f t="shared" si="89"/>
        <v>618990.21396035422</v>
      </c>
      <c r="H104" s="301">
        <f t="shared" si="89"/>
        <v>786386.48907037126</v>
      </c>
      <c r="I104" s="301">
        <f t="shared" si="89"/>
        <v>902611.2641803883</v>
      </c>
      <c r="J104" s="301">
        <f t="shared" si="89"/>
        <v>1019522.5992904053</v>
      </c>
      <c r="K104" s="301">
        <f t="shared" si="89"/>
        <v>1120309.3044004224</v>
      </c>
      <c r="L104" s="301">
        <f t="shared" si="89"/>
        <v>1254647.0795104394</v>
      </c>
      <c r="M104" s="301">
        <f t="shared" si="89"/>
        <v>1394855.8546204565</v>
      </c>
      <c r="N104" s="301">
        <f t="shared" si="89"/>
        <v>1535064.6297304735</v>
      </c>
      <c r="O104" s="301">
        <f t="shared" si="89"/>
        <v>1675273.4048404905</v>
      </c>
      <c r="P104" s="301">
        <f t="shared" si="89"/>
        <v>1808257.1799505076</v>
      </c>
      <c r="Q104" s="300"/>
    </row>
    <row r="105" spans="1:17" ht="15" thickTop="1" x14ac:dyDescent="0.35"/>
    <row r="106" spans="1:17" ht="15.5" x14ac:dyDescent="0.35">
      <c r="A106" s="299" t="s">
        <v>358</v>
      </c>
    </row>
    <row r="107" spans="1:17" x14ac:dyDescent="0.35">
      <c r="P107" s="298">
        <f>P104+C102</f>
        <v>263216.750687361</v>
      </c>
    </row>
    <row r="108" spans="1:17" x14ac:dyDescent="0.35">
      <c r="P108" s="298">
        <f>P107-'5-Year DANN System'!C218</f>
        <v>0</v>
      </c>
    </row>
  </sheetData>
  <pageMargins left="0.7" right="0.7" top="0.75" bottom="0.75" header="0.3" footer="0.3"/>
  <pageSetup scale="46" orientation="landscape" r:id="rId1"/>
  <rowBreaks count="1" manualBreakCount="1">
    <brk id="62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zoomScale="70" zoomScaleNormal="70" workbookViewId="0">
      <selection activeCell="B23" sqref="B23"/>
    </sheetView>
  </sheetViews>
  <sheetFormatPr defaultRowHeight="14.5" x14ac:dyDescent="0.35"/>
  <cols>
    <col min="1" max="1" width="36.08984375" bestFit="1" customWidth="1"/>
    <col min="2" max="9" width="9.08984375" bestFit="1" customWidth="1"/>
    <col min="10" max="10" width="9.08984375" customWidth="1"/>
    <col min="11" max="11" width="9" customWidth="1"/>
  </cols>
  <sheetData>
    <row r="2" spans="1:12" x14ac:dyDescent="0.35">
      <c r="A2" s="384" t="s">
        <v>156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s="114" customFormat="1" x14ac:dyDescent="0.35">
      <c r="B3" s="115" t="s">
        <v>157</v>
      </c>
      <c r="C3" s="115" t="s">
        <v>158</v>
      </c>
      <c r="D3" s="115" t="s">
        <v>159</v>
      </c>
      <c r="E3" s="115" t="s">
        <v>160</v>
      </c>
      <c r="F3" s="115" t="s">
        <v>161</v>
      </c>
      <c r="G3" s="115" t="s">
        <v>162</v>
      </c>
      <c r="H3" s="115" t="s">
        <v>163</v>
      </c>
      <c r="I3" s="115" t="s">
        <v>164</v>
      </c>
      <c r="J3" s="115" t="s">
        <v>165</v>
      </c>
      <c r="K3" s="115" t="s">
        <v>166</v>
      </c>
      <c r="L3" s="115" t="s">
        <v>167</v>
      </c>
    </row>
    <row r="4" spans="1:12" x14ac:dyDescent="0.35">
      <c r="A4" s="116" t="s">
        <v>168</v>
      </c>
      <c r="B4" s="109"/>
      <c r="C4" s="109"/>
      <c r="D4" s="109"/>
      <c r="E4" s="109"/>
      <c r="F4" s="109"/>
      <c r="G4" s="109"/>
      <c r="H4" s="109">
        <v>5658</v>
      </c>
      <c r="I4" s="109">
        <v>5764</v>
      </c>
      <c r="J4" s="109">
        <v>6034</v>
      </c>
      <c r="K4" s="109">
        <v>6109</v>
      </c>
    </row>
    <row r="5" spans="1:12" x14ac:dyDescent="0.35">
      <c r="A5" s="116" t="s">
        <v>169</v>
      </c>
      <c r="B5" s="109"/>
      <c r="C5" s="109"/>
      <c r="D5" s="109"/>
      <c r="E5" s="109"/>
      <c r="F5" s="109"/>
      <c r="G5" s="109"/>
      <c r="H5" s="109">
        <v>1225</v>
      </c>
      <c r="I5" s="109">
        <v>1298</v>
      </c>
      <c r="J5" s="109">
        <v>1405</v>
      </c>
      <c r="K5" s="117">
        <v>1265</v>
      </c>
    </row>
    <row r="6" spans="1:12" x14ac:dyDescent="0.35">
      <c r="A6" s="118" t="s">
        <v>170</v>
      </c>
      <c r="B6" s="119">
        <f t="shared" ref="B6:L6" si="0">SUM(B4:B5)</f>
        <v>0</v>
      </c>
      <c r="C6" s="119">
        <f t="shared" si="0"/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  <c r="H6" s="119">
        <f t="shared" si="0"/>
        <v>6883</v>
      </c>
      <c r="I6" s="119">
        <f t="shared" si="0"/>
        <v>7062</v>
      </c>
      <c r="J6" s="119">
        <f t="shared" si="0"/>
        <v>7439</v>
      </c>
      <c r="K6" s="119">
        <f t="shared" si="0"/>
        <v>7374</v>
      </c>
      <c r="L6" s="119">
        <f t="shared" si="0"/>
        <v>0</v>
      </c>
    </row>
    <row r="7" spans="1:12" x14ac:dyDescent="0.35">
      <c r="B7" s="120"/>
    </row>
    <row r="8" spans="1:12" x14ac:dyDescent="0.35">
      <c r="A8" t="s">
        <v>171</v>
      </c>
      <c r="B8" s="120"/>
      <c r="C8" s="120">
        <f t="shared" ref="C8:K9" si="1">C4-B4</f>
        <v>0</v>
      </c>
      <c r="D8" s="120">
        <f t="shared" si="1"/>
        <v>0</v>
      </c>
      <c r="E8" s="120">
        <f t="shared" si="1"/>
        <v>0</v>
      </c>
      <c r="F8" s="120">
        <f t="shared" si="1"/>
        <v>0</v>
      </c>
      <c r="G8" s="120">
        <f t="shared" si="1"/>
        <v>0</v>
      </c>
      <c r="H8" s="120">
        <f t="shared" si="1"/>
        <v>5658</v>
      </c>
      <c r="I8" s="120">
        <f t="shared" si="1"/>
        <v>106</v>
      </c>
      <c r="J8" s="120">
        <f t="shared" si="1"/>
        <v>270</v>
      </c>
      <c r="K8" s="120">
        <f t="shared" si="1"/>
        <v>75</v>
      </c>
    </row>
    <row r="9" spans="1:12" x14ac:dyDescent="0.35">
      <c r="A9" t="s">
        <v>172</v>
      </c>
      <c r="B9" s="120"/>
      <c r="C9" s="120">
        <f t="shared" si="1"/>
        <v>0</v>
      </c>
      <c r="D9" s="120">
        <f t="shared" si="1"/>
        <v>0</v>
      </c>
      <c r="E9" s="120">
        <f t="shared" si="1"/>
        <v>0</v>
      </c>
      <c r="F9" s="120">
        <f t="shared" si="1"/>
        <v>0</v>
      </c>
      <c r="G9" s="120">
        <f t="shared" si="1"/>
        <v>0</v>
      </c>
      <c r="H9" s="120">
        <f t="shared" si="1"/>
        <v>1225</v>
      </c>
      <c r="I9" s="120">
        <f t="shared" si="1"/>
        <v>73</v>
      </c>
      <c r="J9" s="120">
        <f t="shared" si="1"/>
        <v>107</v>
      </c>
      <c r="K9" s="120">
        <f t="shared" si="1"/>
        <v>-140</v>
      </c>
    </row>
    <row r="10" spans="1:12" x14ac:dyDescent="0.35">
      <c r="A10" t="s">
        <v>173</v>
      </c>
      <c r="B10" s="120"/>
      <c r="C10" s="120">
        <f t="shared" ref="C10:K10" si="2">SUM(C8:C9)</f>
        <v>0</v>
      </c>
      <c r="D10" s="120">
        <f t="shared" si="2"/>
        <v>0</v>
      </c>
      <c r="E10" s="120">
        <f t="shared" si="2"/>
        <v>0</v>
      </c>
      <c r="F10" s="120">
        <f t="shared" si="2"/>
        <v>0</v>
      </c>
      <c r="G10" s="120">
        <f t="shared" si="2"/>
        <v>0</v>
      </c>
      <c r="H10" s="120">
        <f t="shared" si="2"/>
        <v>6883</v>
      </c>
      <c r="I10" s="120">
        <f t="shared" si="2"/>
        <v>179</v>
      </c>
      <c r="J10" s="120">
        <f t="shared" si="2"/>
        <v>377</v>
      </c>
      <c r="K10" s="120">
        <f t="shared" si="2"/>
        <v>-65</v>
      </c>
    </row>
    <row r="12" spans="1:12" x14ac:dyDescent="0.35">
      <c r="A12" t="s">
        <v>174</v>
      </c>
      <c r="C12" s="113" t="e">
        <f t="shared" ref="C12:K12" si="3">C9/B5</f>
        <v>#DIV/0!</v>
      </c>
      <c r="D12" s="113" t="e">
        <f t="shared" si="3"/>
        <v>#DIV/0!</v>
      </c>
      <c r="E12" s="113" t="e">
        <f t="shared" si="3"/>
        <v>#DIV/0!</v>
      </c>
      <c r="F12" s="113" t="e">
        <f t="shared" si="3"/>
        <v>#DIV/0!</v>
      </c>
      <c r="G12" s="113" t="e">
        <f t="shared" si="3"/>
        <v>#DIV/0!</v>
      </c>
      <c r="H12" s="113" t="e">
        <f t="shared" si="3"/>
        <v>#DIV/0!</v>
      </c>
      <c r="I12" s="113">
        <f t="shared" si="3"/>
        <v>5.9591836734693877E-2</v>
      </c>
      <c r="J12" s="113">
        <f t="shared" si="3"/>
        <v>8.2434514637904466E-2</v>
      </c>
      <c r="K12" s="113">
        <f t="shared" si="3"/>
        <v>-9.9644128113879002E-2</v>
      </c>
    </row>
    <row r="14" spans="1:12" s="121" customFormat="1" x14ac:dyDescent="0.35">
      <c r="A14" s="121" t="s">
        <v>175</v>
      </c>
      <c r="C14" s="121" t="e">
        <f t="shared" ref="C14:K14" si="4">C10/B6</f>
        <v>#DIV/0!</v>
      </c>
      <c r="D14" s="121" t="e">
        <f t="shared" si="4"/>
        <v>#DIV/0!</v>
      </c>
      <c r="E14" s="121" t="e">
        <f t="shared" si="4"/>
        <v>#DIV/0!</v>
      </c>
      <c r="F14" s="121" t="e">
        <f t="shared" si="4"/>
        <v>#DIV/0!</v>
      </c>
      <c r="G14" s="121" t="e">
        <f t="shared" si="4"/>
        <v>#DIV/0!</v>
      </c>
      <c r="H14" s="121" t="e">
        <f t="shared" si="4"/>
        <v>#DIV/0!</v>
      </c>
      <c r="I14" s="121">
        <f t="shared" si="4"/>
        <v>2.600610199041116E-2</v>
      </c>
      <c r="J14" s="121">
        <f t="shared" si="4"/>
        <v>5.3384310393656188E-2</v>
      </c>
      <c r="K14" s="121">
        <f t="shared" si="4"/>
        <v>-8.7377335663395613E-3</v>
      </c>
    </row>
    <row r="15" spans="1:12" x14ac:dyDescent="0.35">
      <c r="C15" s="120"/>
      <c r="D15" s="120"/>
      <c r="E15" s="120"/>
      <c r="F15" s="120"/>
      <c r="G15" s="120"/>
      <c r="H15" s="120"/>
    </row>
    <row r="16" spans="1:12" x14ac:dyDescent="0.35">
      <c r="A16" s="63" t="s">
        <v>54</v>
      </c>
      <c r="B16" s="120"/>
      <c r="C16" s="120"/>
      <c r="D16" s="120"/>
      <c r="E16" s="120"/>
      <c r="F16" s="120"/>
      <c r="G16" s="120"/>
      <c r="H16" s="120"/>
      <c r="I16" s="120">
        <v>950</v>
      </c>
      <c r="J16" s="120">
        <v>950</v>
      </c>
      <c r="K16" s="120">
        <v>950</v>
      </c>
    </row>
    <row r="17" spans="1:12" x14ac:dyDescent="0.35">
      <c r="A17" s="63" t="s">
        <v>55</v>
      </c>
      <c r="B17" s="120"/>
      <c r="C17" s="120"/>
      <c r="D17" s="120"/>
      <c r="E17" s="120"/>
      <c r="F17" s="120"/>
      <c r="G17" s="120"/>
      <c r="H17" s="120"/>
      <c r="I17" s="120">
        <v>3300</v>
      </c>
      <c r="J17" s="120">
        <v>3357.58</v>
      </c>
      <c r="K17" s="120">
        <v>3400</v>
      </c>
    </row>
    <row r="18" spans="1:12" x14ac:dyDescent="0.35">
      <c r="K18" s="122"/>
    </row>
    <row r="19" spans="1:12" x14ac:dyDescent="0.35">
      <c r="K19" s="122"/>
    </row>
    <row r="20" spans="1:12" x14ac:dyDescent="0.35">
      <c r="A20" s="385" t="s">
        <v>59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x14ac:dyDescent="0.35">
      <c r="B21" s="115" t="s">
        <v>157</v>
      </c>
      <c r="C21" s="115" t="s">
        <v>158</v>
      </c>
      <c r="D21" s="115" t="s">
        <v>159</v>
      </c>
      <c r="E21" s="115" t="s">
        <v>160</v>
      </c>
      <c r="F21" s="115" t="s">
        <v>161</v>
      </c>
      <c r="G21" s="115" t="s">
        <v>162</v>
      </c>
      <c r="H21" s="115" t="s">
        <v>163</v>
      </c>
      <c r="I21" s="115" t="s">
        <v>164</v>
      </c>
      <c r="J21" s="115" t="s">
        <v>165</v>
      </c>
      <c r="K21" s="115" t="s">
        <v>166</v>
      </c>
      <c r="L21" s="115" t="s">
        <v>167</v>
      </c>
    </row>
    <row r="22" spans="1:12" x14ac:dyDescent="0.35">
      <c r="A22" s="41" t="s">
        <v>176</v>
      </c>
    </row>
    <row r="23" spans="1:12" x14ac:dyDescent="0.35">
      <c r="A23" s="123" t="s">
        <v>204</v>
      </c>
      <c r="B23" s="124"/>
      <c r="C23" s="125"/>
      <c r="D23" s="125"/>
      <c r="E23" s="125"/>
      <c r="F23" s="125"/>
      <c r="G23" s="125"/>
      <c r="H23" s="125"/>
      <c r="I23" s="125"/>
      <c r="J23" s="125"/>
      <c r="K23" s="125">
        <v>43000</v>
      </c>
      <c r="L23" s="125"/>
    </row>
    <row r="24" spans="1:12" x14ac:dyDescent="0.35">
      <c r="A24" s="126" t="s">
        <v>177</v>
      </c>
      <c r="B24" s="127"/>
      <c r="C24" s="127"/>
      <c r="D24" s="127"/>
      <c r="E24" s="127"/>
      <c r="F24" s="127"/>
      <c r="G24" s="127"/>
      <c r="H24" s="127"/>
      <c r="I24" s="128"/>
      <c r="J24" s="127"/>
      <c r="K24" s="127" t="e">
        <f>(K23-J23)/J23</f>
        <v>#DIV/0!</v>
      </c>
    </row>
    <row r="26" spans="1:12" x14ac:dyDescent="0.35">
      <c r="A26" t="s">
        <v>178</v>
      </c>
      <c r="I26" s="129">
        <v>0.28000000000000003</v>
      </c>
      <c r="J26" s="129">
        <v>0.29249999999999998</v>
      </c>
      <c r="K26" s="129">
        <v>0.29249999999999998</v>
      </c>
    </row>
    <row r="27" spans="1:12" x14ac:dyDescent="0.35">
      <c r="A27" t="s">
        <v>179</v>
      </c>
      <c r="I27" s="130" t="s">
        <v>180</v>
      </c>
      <c r="J27" s="130" t="s">
        <v>180</v>
      </c>
      <c r="K27" s="130" t="s">
        <v>180</v>
      </c>
    </row>
    <row r="28" spans="1:12" x14ac:dyDescent="0.35">
      <c r="A28" t="s">
        <v>181</v>
      </c>
      <c r="I28" s="130">
        <v>1.4500000000000001E-2</v>
      </c>
      <c r="J28" s="130">
        <v>1.4500000000000001E-2</v>
      </c>
      <c r="K28" s="130">
        <v>1.4500000000000001E-2</v>
      </c>
    </row>
    <row r="29" spans="1:12" x14ac:dyDescent="0.35">
      <c r="A29" t="s">
        <v>182</v>
      </c>
      <c r="I29" s="130">
        <v>2.1499999999999998E-2</v>
      </c>
      <c r="J29" s="130">
        <v>2.1499999999999998E-2</v>
      </c>
      <c r="K29" s="130">
        <v>2.1499999999999998E-2</v>
      </c>
    </row>
    <row r="30" spans="1:12" x14ac:dyDescent="0.35">
      <c r="A30" t="s">
        <v>183</v>
      </c>
      <c r="I30" s="130">
        <v>0.13150000000000001</v>
      </c>
      <c r="J30" s="130">
        <v>0.13650000000000001</v>
      </c>
      <c r="K30" s="130">
        <v>0.14399999999999999</v>
      </c>
    </row>
    <row r="31" spans="1:12" x14ac:dyDescent="0.35">
      <c r="A31" s="123" t="s">
        <v>184</v>
      </c>
      <c r="B31" s="124"/>
      <c r="C31" s="124"/>
      <c r="D31" s="124"/>
      <c r="E31" s="124"/>
      <c r="F31" s="124"/>
      <c r="G31" s="124"/>
      <c r="H31" s="124"/>
      <c r="I31" s="131">
        <f t="shared" ref="I31:J31" si="5">SUM(I27:I30)</f>
        <v>0.16750000000000001</v>
      </c>
      <c r="J31" s="131">
        <f t="shared" si="5"/>
        <v>0.17250000000000001</v>
      </c>
      <c r="K31" s="131">
        <f>SUM(K27:K30)</f>
        <v>0.18</v>
      </c>
      <c r="L31" s="131">
        <f>SUM(L27:L30)</f>
        <v>0</v>
      </c>
    </row>
    <row r="34" spans="1:11" x14ac:dyDescent="0.35">
      <c r="A34" t="s">
        <v>185</v>
      </c>
      <c r="I34" s="132">
        <v>95</v>
      </c>
      <c r="J34" s="132">
        <v>95</v>
      </c>
      <c r="K34" s="132">
        <v>100</v>
      </c>
    </row>
    <row r="35" spans="1:11" x14ac:dyDescent="0.35">
      <c r="A35" t="s">
        <v>91</v>
      </c>
      <c r="I35" s="132">
        <v>13</v>
      </c>
      <c r="J35" s="132">
        <v>13</v>
      </c>
      <c r="K35" s="132">
        <v>13</v>
      </c>
    </row>
    <row r="36" spans="1:11" x14ac:dyDescent="0.35">
      <c r="A36" t="s">
        <v>92</v>
      </c>
      <c r="I36" s="132">
        <v>27</v>
      </c>
      <c r="J36" s="132">
        <v>27</v>
      </c>
      <c r="K36" s="132">
        <v>27</v>
      </c>
    </row>
    <row r="37" spans="1:11" x14ac:dyDescent="0.35">
      <c r="A37" t="s">
        <v>93</v>
      </c>
      <c r="I37" s="132">
        <v>4</v>
      </c>
      <c r="J37" s="132">
        <v>4</v>
      </c>
      <c r="K37" s="132">
        <v>4</v>
      </c>
    </row>
    <row r="38" spans="1:11" x14ac:dyDescent="0.35">
      <c r="A38" t="s">
        <v>94</v>
      </c>
      <c r="I38" s="133">
        <v>2.5</v>
      </c>
      <c r="J38" s="133">
        <v>2.5</v>
      </c>
      <c r="K38" s="133">
        <v>2.5</v>
      </c>
    </row>
    <row r="39" spans="1:11" x14ac:dyDescent="0.35">
      <c r="A39" t="s">
        <v>95</v>
      </c>
      <c r="I39" s="132">
        <v>120</v>
      </c>
      <c r="J39" s="132">
        <v>120</v>
      </c>
      <c r="K39" s="132">
        <v>120</v>
      </c>
    </row>
    <row r="40" spans="1:11" x14ac:dyDescent="0.35">
      <c r="A40" t="s">
        <v>143</v>
      </c>
      <c r="I40" s="132">
        <v>15</v>
      </c>
      <c r="J40" s="132">
        <v>15</v>
      </c>
      <c r="K40" s="132">
        <v>20</v>
      </c>
    </row>
    <row r="41" spans="1:11" x14ac:dyDescent="0.35">
      <c r="A41" t="s">
        <v>186</v>
      </c>
      <c r="I41" s="132"/>
      <c r="J41" s="132"/>
      <c r="K41" s="132"/>
    </row>
    <row r="42" spans="1:11" x14ac:dyDescent="0.35">
      <c r="A42" t="s">
        <v>102</v>
      </c>
      <c r="I42" s="132">
        <v>450</v>
      </c>
      <c r="J42" s="132">
        <v>450</v>
      </c>
      <c r="K42" s="132">
        <v>450</v>
      </c>
    </row>
    <row r="43" spans="1:11" x14ac:dyDescent="0.35">
      <c r="A43" t="s">
        <v>187</v>
      </c>
      <c r="I43" s="132">
        <v>42</v>
      </c>
      <c r="J43" s="132">
        <v>42</v>
      </c>
      <c r="K43" s="132">
        <v>42</v>
      </c>
    </row>
    <row r="44" spans="1:11" x14ac:dyDescent="0.35">
      <c r="A44" t="s">
        <v>188</v>
      </c>
      <c r="I44" s="121">
        <v>1.4999999999999999E-2</v>
      </c>
      <c r="J44" s="121">
        <v>1.2500000000000001E-2</v>
      </c>
      <c r="K44" s="121">
        <v>1.2500000000000001E-2</v>
      </c>
    </row>
    <row r="45" spans="1:11" x14ac:dyDescent="0.35">
      <c r="A45" t="s">
        <v>189</v>
      </c>
      <c r="I45" s="121">
        <v>0.01</v>
      </c>
      <c r="J45" s="121">
        <v>0.01</v>
      </c>
      <c r="K45" s="121">
        <v>0.01</v>
      </c>
    </row>
  </sheetData>
  <mergeCells count="2">
    <mergeCell ref="A2:L2"/>
    <mergeCell ref="A20:L2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222"/>
  <sheetViews>
    <sheetView topLeftCell="A101" zoomScale="75" zoomScaleNormal="75" workbookViewId="0">
      <pane xSplit="1" topLeftCell="B1" activePane="topRight" state="frozen"/>
      <selection activeCell="A2" sqref="A2"/>
      <selection pane="topRight" activeCell="E181" sqref="E181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256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7215</v>
      </c>
      <c r="C2" s="7">
        <v>0</v>
      </c>
      <c r="D2" s="7">
        <v>0</v>
      </c>
      <c r="E2" s="7">
        <v>0</v>
      </c>
      <c r="F2" s="7">
        <f>SUM(B2:E2)</f>
        <v>7215</v>
      </c>
      <c r="H2" s="7">
        <v>7215</v>
      </c>
      <c r="I2" s="7">
        <v>0</v>
      </c>
      <c r="J2" s="7">
        <v>0</v>
      </c>
      <c r="K2" s="7">
        <v>0</v>
      </c>
      <c r="L2" s="7">
        <f>SUM(H2:K2)</f>
        <v>7215</v>
      </c>
      <c r="N2" s="7">
        <f>H2</f>
        <v>7215</v>
      </c>
      <c r="O2" s="7">
        <v>0</v>
      </c>
      <c r="P2" s="7">
        <v>0</v>
      </c>
      <c r="Q2" s="7">
        <v>0</v>
      </c>
      <c r="R2" s="7">
        <f>SUM(N2:Q2)</f>
        <v>7215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544</v>
      </c>
      <c r="I5" s="9"/>
      <c r="J5" s="9"/>
      <c r="K5" s="9"/>
      <c r="L5" s="9">
        <f t="shared" ref="L5:L19" si="1">SUM(H5:K5)</f>
        <v>544</v>
      </c>
      <c r="N5" s="9">
        <f>N6+N7+N8+N9+N10+N11+N12+N13+N14+N15+N16+N17+N18</f>
        <v>1540</v>
      </c>
      <c r="O5" s="9"/>
      <c r="P5" s="9"/>
      <c r="Q5" s="9"/>
      <c r="R5" s="9">
        <f t="shared" ref="R5:R19" si="2">SUM(N5:Q5)</f>
        <v>1540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26*3</f>
        <v>78</v>
      </c>
      <c r="I10" s="11"/>
      <c r="J10" s="11"/>
      <c r="K10" s="11"/>
      <c r="L10" s="9">
        <f t="shared" si="1"/>
        <v>78</v>
      </c>
      <c r="M10" s="187">
        <v>3</v>
      </c>
      <c r="N10" s="7">
        <f t="shared" si="3"/>
        <v>182</v>
      </c>
      <c r="O10" s="11"/>
      <c r="P10" s="11"/>
      <c r="Q10" s="11"/>
      <c r="R10" s="9">
        <f t="shared" si="2"/>
        <v>182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27*2</f>
        <v>54</v>
      </c>
      <c r="I11" s="11"/>
      <c r="J11" s="11"/>
      <c r="K11" s="11"/>
      <c r="L11" s="9">
        <f t="shared" si="1"/>
        <v>54</v>
      </c>
      <c r="M11" s="187">
        <v>2</v>
      </c>
      <c r="N11" s="7">
        <f t="shared" si="3"/>
        <v>162</v>
      </c>
      <c r="O11" s="11"/>
      <c r="P11" s="11"/>
      <c r="Q11" s="11"/>
      <c r="R11" s="9">
        <f t="shared" si="2"/>
        <v>162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v>0</v>
      </c>
      <c r="I12" s="7"/>
      <c r="J12" s="7"/>
      <c r="K12" s="7"/>
      <c r="L12" s="9">
        <f t="shared" si="1"/>
        <v>0</v>
      </c>
      <c r="N12" s="7">
        <f t="shared" si="3"/>
        <v>124</v>
      </c>
      <c r="O12" s="7"/>
      <c r="P12" s="7"/>
      <c r="Q12" s="7"/>
      <c r="R12" s="9">
        <f t="shared" si="2"/>
        <v>124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v>0</v>
      </c>
      <c r="I13" s="7"/>
      <c r="J13" s="7"/>
      <c r="K13" s="7"/>
      <c r="L13" s="9">
        <f t="shared" si="1"/>
        <v>0</v>
      </c>
      <c r="N13" s="7">
        <f t="shared" si="3"/>
        <v>124</v>
      </c>
      <c r="O13" s="7"/>
      <c r="P13" s="7"/>
      <c r="Q13" s="7"/>
      <c r="R13" s="9">
        <f t="shared" si="2"/>
        <v>124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3</v>
      </c>
      <c r="H14" s="7">
        <v>0</v>
      </c>
      <c r="I14" s="7"/>
      <c r="J14" s="7"/>
      <c r="K14" s="7"/>
      <c r="L14" s="9">
        <f t="shared" si="1"/>
        <v>0</v>
      </c>
      <c r="N14" s="7">
        <f t="shared" si="3"/>
        <v>124</v>
      </c>
      <c r="O14" s="7"/>
      <c r="P14" s="7"/>
      <c r="Q14" s="7"/>
      <c r="R14" s="9">
        <f t="shared" si="2"/>
        <v>124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20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20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20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544</v>
      </c>
      <c r="I19" s="9"/>
      <c r="J19" s="9"/>
      <c r="K19" s="9"/>
      <c r="L19" s="9">
        <f t="shared" si="1"/>
        <v>544</v>
      </c>
      <c r="M19" s="188">
        <f>L19*0.11</f>
        <v>59.84</v>
      </c>
      <c r="N19" s="9">
        <f>SUM(N6:N18)</f>
        <v>1540</v>
      </c>
      <c r="O19" s="9"/>
      <c r="P19" s="9"/>
      <c r="Q19" s="9"/>
      <c r="R19" s="9">
        <f t="shared" si="2"/>
        <v>1540</v>
      </c>
    </row>
    <row r="20" spans="1:20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20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20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H19*0.17</f>
        <v>92.48</v>
      </c>
      <c r="K22" s="7"/>
      <c r="L22" s="7">
        <f t="shared" ref="L22:L27" si="5">SUM(H22:K22)</f>
        <v>92.48</v>
      </c>
      <c r="N22" s="190">
        <f>B22+H22</f>
        <v>0</v>
      </c>
      <c r="O22" s="190">
        <f t="shared" ref="O22:Q22" si="6">C22+I22</f>
        <v>0</v>
      </c>
      <c r="P22" s="190">
        <f t="shared" si="6"/>
        <v>200.48000000000002</v>
      </c>
      <c r="Q22" s="190">
        <f t="shared" si="6"/>
        <v>0</v>
      </c>
      <c r="R22" s="7">
        <f t="shared" ref="R22:R27" si="7">SUM(N22:Q22)</f>
        <v>200.48000000000002</v>
      </c>
      <c r="T22">
        <f>J22/H19</f>
        <v>0.17</v>
      </c>
    </row>
    <row r="23" spans="1:20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v>0</v>
      </c>
      <c r="J23" s="7"/>
      <c r="K23" s="7"/>
      <c r="L23" s="7">
        <f t="shared" si="5"/>
        <v>0</v>
      </c>
      <c r="N23" s="190">
        <f t="shared" ref="N23:N24" si="8">B23+H23</f>
        <v>0</v>
      </c>
      <c r="O23" s="7">
        <f t="shared" ref="O23:O24" si="9">C23+I23</f>
        <v>3</v>
      </c>
      <c r="P23" s="190">
        <f t="shared" ref="P23:P24" si="10">D23+J23</f>
        <v>0</v>
      </c>
      <c r="Q23" s="190">
        <f t="shared" ref="Q23:Q24" si="11">E23+K23</f>
        <v>0</v>
      </c>
      <c r="R23" s="7">
        <f t="shared" si="7"/>
        <v>3</v>
      </c>
    </row>
    <row r="24" spans="1:20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0</v>
      </c>
      <c r="J24" s="7"/>
      <c r="K24" s="7"/>
      <c r="L24" s="7">
        <f t="shared" si="5"/>
        <v>0</v>
      </c>
      <c r="N24" s="190">
        <f t="shared" si="8"/>
        <v>0</v>
      </c>
      <c r="O24" s="7">
        <f t="shared" si="9"/>
        <v>53</v>
      </c>
      <c r="P24" s="190">
        <f t="shared" si="10"/>
        <v>0</v>
      </c>
      <c r="Q24" s="190">
        <f t="shared" si="11"/>
        <v>0</v>
      </c>
      <c r="R24" s="7">
        <f t="shared" si="7"/>
        <v>53</v>
      </c>
    </row>
    <row r="25" spans="1:20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0.258961038961039</v>
      </c>
      <c r="R25" s="19">
        <f t="shared" si="7"/>
        <v>0.258961038961039</v>
      </c>
    </row>
    <row r="26" spans="1:20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v>0</v>
      </c>
      <c r="J26" s="7"/>
      <c r="K26" s="7"/>
      <c r="L26" s="7">
        <f t="shared" si="5"/>
        <v>0</v>
      </c>
      <c r="N26" s="190">
        <f>B26+H26</f>
        <v>0</v>
      </c>
      <c r="O26" s="190">
        <f t="shared" ref="O26:Q26" si="12">C26+I26</f>
        <v>55</v>
      </c>
      <c r="P26" s="190">
        <f t="shared" si="12"/>
        <v>0</v>
      </c>
      <c r="Q26" s="190">
        <f t="shared" si="12"/>
        <v>0</v>
      </c>
      <c r="R26" s="7">
        <f t="shared" si="7"/>
        <v>55</v>
      </c>
    </row>
    <row r="27" spans="1:20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20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20" x14ac:dyDescent="0.35">
      <c r="A29" s="21" t="s">
        <v>18</v>
      </c>
      <c r="B29" s="365">
        <v>36</v>
      </c>
      <c r="C29" s="365"/>
      <c r="D29" s="365"/>
      <c r="E29" s="23"/>
      <c r="F29" s="23">
        <f t="shared" ref="F29:F38" si="13">SUM(B29:E29)</f>
        <v>36</v>
      </c>
      <c r="G29" s="188">
        <f>F29/6</f>
        <v>6</v>
      </c>
      <c r="H29" s="23">
        <v>21</v>
      </c>
      <c r="I29" s="23"/>
      <c r="J29" s="23"/>
      <c r="K29" s="23"/>
      <c r="L29" s="23">
        <f t="shared" ref="L29:L38" si="14">SUM(H29:K29)</f>
        <v>21</v>
      </c>
      <c r="M29" s="188">
        <f>L29/6</f>
        <v>3.5</v>
      </c>
      <c r="N29" s="190">
        <f>B29+H29</f>
        <v>57</v>
      </c>
      <c r="O29" s="190">
        <f t="shared" ref="O29:Q29" si="15">C29+I29</f>
        <v>0</v>
      </c>
      <c r="P29" s="190">
        <f t="shared" si="15"/>
        <v>0</v>
      </c>
      <c r="Q29" s="190">
        <f t="shared" si="15"/>
        <v>0</v>
      </c>
      <c r="R29" s="23">
        <f t="shared" ref="R29:R38" si="16">SUM(N29:Q29)</f>
        <v>57</v>
      </c>
    </row>
    <row r="30" spans="1:20" x14ac:dyDescent="0.35">
      <c r="A30" s="21" t="s">
        <v>19</v>
      </c>
      <c r="B30" s="364">
        <v>0</v>
      </c>
      <c r="C30" s="364"/>
      <c r="D30" s="364">
        <v>3.5</v>
      </c>
      <c r="E30" s="26"/>
      <c r="F30" s="23">
        <f t="shared" si="13"/>
        <v>3.5</v>
      </c>
      <c r="H30" s="26">
        <v>0</v>
      </c>
      <c r="I30" s="26"/>
      <c r="J30" s="26">
        <v>4</v>
      </c>
      <c r="K30" s="26"/>
      <c r="L30" s="23">
        <f t="shared" si="14"/>
        <v>4</v>
      </c>
      <c r="M30" s="188">
        <f>J22/23</f>
        <v>4.0208695652173914</v>
      </c>
      <c r="N30" s="190">
        <f t="shared" ref="N30:N38" si="17">B30+H30</f>
        <v>0</v>
      </c>
      <c r="O30" s="190">
        <f t="shared" ref="O30:O38" si="18">C30+I30</f>
        <v>0</v>
      </c>
      <c r="P30" s="190">
        <f t="shared" ref="P30:P38" si="19">D30+J30</f>
        <v>7.5</v>
      </c>
      <c r="Q30" s="190">
        <f t="shared" ref="Q30:Q38" si="20">E30+K30</f>
        <v>0</v>
      </c>
      <c r="R30" s="23">
        <f t="shared" si="16"/>
        <v>7.5</v>
      </c>
    </row>
    <row r="31" spans="1:20" x14ac:dyDescent="0.35">
      <c r="A31" s="21" t="s">
        <v>20</v>
      </c>
      <c r="B31" s="365">
        <v>2</v>
      </c>
      <c r="C31" s="365"/>
      <c r="D31" s="365"/>
      <c r="E31" s="23"/>
      <c r="F31" s="23">
        <f t="shared" si="13"/>
        <v>2</v>
      </c>
      <c r="H31" s="23">
        <v>1</v>
      </c>
      <c r="I31" s="23"/>
      <c r="J31" s="23"/>
      <c r="K31" s="23"/>
      <c r="L31" s="23">
        <f t="shared" si="14"/>
        <v>1</v>
      </c>
      <c r="N31" s="190">
        <f t="shared" si="17"/>
        <v>3</v>
      </c>
      <c r="O31" s="190">
        <f t="shared" si="18"/>
        <v>0</v>
      </c>
      <c r="P31" s="190">
        <f t="shared" si="19"/>
        <v>0</v>
      </c>
      <c r="Q31" s="190">
        <f t="shared" si="20"/>
        <v>0</v>
      </c>
      <c r="R31" s="23">
        <f t="shared" si="16"/>
        <v>3</v>
      </c>
    </row>
    <row r="32" spans="1:20" x14ac:dyDescent="0.35">
      <c r="A32" s="21" t="s">
        <v>21</v>
      </c>
      <c r="B32" s="365">
        <v>1</v>
      </c>
      <c r="C32" s="365"/>
      <c r="D32" s="365"/>
      <c r="E32" s="23"/>
      <c r="F32" s="23">
        <f t="shared" si="13"/>
        <v>1</v>
      </c>
      <c r="H32" s="23">
        <v>1</v>
      </c>
      <c r="I32" s="23"/>
      <c r="J32" s="23"/>
      <c r="K32" s="23"/>
      <c r="L32" s="23">
        <f t="shared" si="14"/>
        <v>1</v>
      </c>
      <c r="N32" s="190">
        <f t="shared" si="17"/>
        <v>2</v>
      </c>
      <c r="O32" s="190">
        <f t="shared" si="18"/>
        <v>0</v>
      </c>
      <c r="P32" s="190">
        <f t="shared" si="19"/>
        <v>0</v>
      </c>
      <c r="Q32" s="190">
        <f t="shared" si="20"/>
        <v>0</v>
      </c>
      <c r="R32" s="23">
        <f t="shared" si="16"/>
        <v>2</v>
      </c>
    </row>
    <row r="33" spans="1:18" x14ac:dyDescent="0.35">
      <c r="A33" s="21" t="s">
        <v>22</v>
      </c>
      <c r="B33" s="365">
        <v>1</v>
      </c>
      <c r="C33" s="365"/>
      <c r="D33" s="365"/>
      <c r="E33" s="23"/>
      <c r="F33" s="23">
        <f t="shared" si="13"/>
        <v>1</v>
      </c>
      <c r="H33" s="23">
        <v>1</v>
      </c>
      <c r="I33" s="23"/>
      <c r="J33" s="23"/>
      <c r="K33" s="23"/>
      <c r="L33" s="23">
        <f t="shared" si="14"/>
        <v>1</v>
      </c>
      <c r="N33" s="190">
        <f t="shared" si="17"/>
        <v>2</v>
      </c>
      <c r="O33" s="190">
        <f t="shared" si="18"/>
        <v>0</v>
      </c>
      <c r="P33" s="190">
        <f t="shared" si="19"/>
        <v>0</v>
      </c>
      <c r="Q33" s="190">
        <f t="shared" si="20"/>
        <v>0</v>
      </c>
      <c r="R33" s="23">
        <f t="shared" si="16"/>
        <v>2</v>
      </c>
    </row>
    <row r="34" spans="1:18" x14ac:dyDescent="0.35">
      <c r="A34" s="24" t="s">
        <v>23</v>
      </c>
      <c r="B34" s="366">
        <v>0</v>
      </c>
      <c r="C34" s="366"/>
      <c r="D34" s="366"/>
      <c r="E34" s="22"/>
      <c r="F34" s="23">
        <f t="shared" si="13"/>
        <v>0</v>
      </c>
      <c r="H34" s="22">
        <v>0</v>
      </c>
      <c r="I34" s="22"/>
      <c r="J34" s="22"/>
      <c r="K34" s="22"/>
      <c r="L34" s="23">
        <f t="shared" si="14"/>
        <v>0</v>
      </c>
      <c r="N34" s="190">
        <f t="shared" si="17"/>
        <v>0</v>
      </c>
      <c r="O34" s="190">
        <f t="shared" si="18"/>
        <v>0</v>
      </c>
      <c r="P34" s="190">
        <f t="shared" si="19"/>
        <v>0</v>
      </c>
      <c r="Q34" s="190">
        <f t="shared" si="20"/>
        <v>0</v>
      </c>
      <c r="R34" s="23">
        <f t="shared" si="16"/>
        <v>0</v>
      </c>
    </row>
    <row r="35" spans="1:18" x14ac:dyDescent="0.35">
      <c r="A35" s="27" t="s">
        <v>24</v>
      </c>
      <c r="B35" s="365">
        <v>0</v>
      </c>
      <c r="C35" s="365"/>
      <c r="D35" s="365"/>
      <c r="E35" s="23"/>
      <c r="F35" s="23">
        <f t="shared" si="13"/>
        <v>0</v>
      </c>
      <c r="H35" s="23">
        <v>0</v>
      </c>
      <c r="I35" s="23"/>
      <c r="J35" s="23"/>
      <c r="K35" s="23"/>
      <c r="L35" s="23">
        <f t="shared" si="14"/>
        <v>0</v>
      </c>
      <c r="N35" s="190">
        <f t="shared" si="17"/>
        <v>0</v>
      </c>
      <c r="O35" s="190">
        <f t="shared" si="18"/>
        <v>0</v>
      </c>
      <c r="P35" s="190">
        <f t="shared" si="19"/>
        <v>0</v>
      </c>
      <c r="Q35" s="190">
        <f t="shared" si="20"/>
        <v>0</v>
      </c>
      <c r="R35" s="23">
        <f t="shared" si="16"/>
        <v>0</v>
      </c>
    </row>
    <row r="36" spans="1:18" x14ac:dyDescent="0.35">
      <c r="A36" s="28" t="s">
        <v>25</v>
      </c>
      <c r="B36" s="366">
        <v>0</v>
      </c>
      <c r="C36" s="366"/>
      <c r="D36" s="366"/>
      <c r="E36" s="22"/>
      <c r="F36" s="23">
        <f t="shared" si="13"/>
        <v>0</v>
      </c>
      <c r="H36" s="22">
        <v>0</v>
      </c>
      <c r="I36" s="22"/>
      <c r="J36" s="22"/>
      <c r="K36" s="22"/>
      <c r="L36" s="23">
        <f t="shared" si="14"/>
        <v>0</v>
      </c>
      <c r="N36" s="190">
        <f t="shared" si="17"/>
        <v>0</v>
      </c>
      <c r="O36" s="190">
        <f t="shared" si="18"/>
        <v>0</v>
      </c>
      <c r="P36" s="190">
        <f t="shared" si="19"/>
        <v>0</v>
      </c>
      <c r="Q36" s="190">
        <f t="shared" si="20"/>
        <v>0</v>
      </c>
      <c r="R36" s="23">
        <f t="shared" si="16"/>
        <v>0</v>
      </c>
    </row>
    <row r="37" spans="1:18" x14ac:dyDescent="0.35">
      <c r="A37" s="27" t="s">
        <v>26</v>
      </c>
      <c r="B37" s="365">
        <v>1</v>
      </c>
      <c r="C37" s="365"/>
      <c r="D37" s="365"/>
      <c r="E37" s="23"/>
      <c r="F37" s="23">
        <f t="shared" si="13"/>
        <v>1</v>
      </c>
      <c r="H37" s="23">
        <v>0.5</v>
      </c>
      <c r="I37" s="23"/>
      <c r="J37" s="23"/>
      <c r="K37" s="23"/>
      <c r="L37" s="23">
        <f t="shared" si="14"/>
        <v>0.5</v>
      </c>
      <c r="N37" s="190">
        <f t="shared" si="17"/>
        <v>1.5</v>
      </c>
      <c r="O37" s="190">
        <f t="shared" si="18"/>
        <v>0</v>
      </c>
      <c r="P37" s="190">
        <f t="shared" si="19"/>
        <v>0</v>
      </c>
      <c r="Q37" s="190">
        <f t="shared" si="20"/>
        <v>0</v>
      </c>
      <c r="R37" s="23">
        <f t="shared" si="16"/>
        <v>1.5</v>
      </c>
    </row>
    <row r="38" spans="1:18" x14ac:dyDescent="0.35">
      <c r="A38" s="27" t="s">
        <v>27</v>
      </c>
      <c r="B38" s="365">
        <v>1</v>
      </c>
      <c r="C38" s="365"/>
      <c r="D38" s="365"/>
      <c r="E38" s="23"/>
      <c r="F38" s="23">
        <f t="shared" si="13"/>
        <v>1</v>
      </c>
      <c r="H38" s="23">
        <v>0</v>
      </c>
      <c r="I38" s="23"/>
      <c r="J38" s="23"/>
      <c r="K38" s="23"/>
      <c r="L38" s="23">
        <f t="shared" si="14"/>
        <v>0</v>
      </c>
      <c r="N38" s="190">
        <f t="shared" si="17"/>
        <v>1</v>
      </c>
      <c r="O38" s="190">
        <f t="shared" si="18"/>
        <v>0</v>
      </c>
      <c r="P38" s="190">
        <f t="shared" si="19"/>
        <v>0</v>
      </c>
      <c r="Q38" s="190">
        <f t="shared" si="20"/>
        <v>0</v>
      </c>
      <c r="R38" s="23">
        <f t="shared" si="16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21">SUM(C29:C38)</f>
        <v>0</v>
      </c>
      <c r="D39" s="30">
        <f t="shared" si="21"/>
        <v>3.5</v>
      </c>
      <c r="E39" s="30">
        <f t="shared" si="21"/>
        <v>0</v>
      </c>
      <c r="F39" s="30">
        <f t="shared" si="21"/>
        <v>45.5</v>
      </c>
      <c r="H39" s="30">
        <f>SUM(H29:H38)</f>
        <v>24.5</v>
      </c>
      <c r="I39" s="30">
        <f t="shared" ref="I39:L39" si="22">SUM(I29:I38)</f>
        <v>0</v>
      </c>
      <c r="J39" s="30">
        <f t="shared" si="22"/>
        <v>4</v>
      </c>
      <c r="K39" s="30">
        <f t="shared" si="22"/>
        <v>0</v>
      </c>
      <c r="L39" s="30">
        <f t="shared" si="22"/>
        <v>28.5</v>
      </c>
      <c r="N39" s="30">
        <f>SUM(N29:N38)</f>
        <v>66.5</v>
      </c>
      <c r="O39" s="30">
        <f t="shared" ref="O39:R39" si="23">SUM(O29:O38)</f>
        <v>0</v>
      </c>
      <c r="P39" s="30">
        <f t="shared" si="23"/>
        <v>7.5</v>
      </c>
      <c r="Q39" s="30">
        <f t="shared" si="23"/>
        <v>0</v>
      </c>
      <c r="R39" s="30">
        <f t="shared" si="23"/>
        <v>74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365">
        <v>1</v>
      </c>
      <c r="C42" s="365"/>
      <c r="D42" s="365"/>
      <c r="E42" s="365"/>
      <c r="F42" s="23">
        <f t="shared" ref="F42:F62" si="24">SUM(B42:E42)</f>
        <v>1</v>
      </c>
      <c r="H42" s="23">
        <v>1</v>
      </c>
      <c r="I42" s="23"/>
      <c r="J42" s="23"/>
      <c r="K42" s="23"/>
      <c r="L42" s="23">
        <f t="shared" ref="L42:L62" si="25">SUM(H42:K42)</f>
        <v>1</v>
      </c>
      <c r="N42" s="190">
        <f>B42+H42</f>
        <v>2</v>
      </c>
      <c r="O42" s="190">
        <f t="shared" ref="O42:Q42" si="26">C42+I42</f>
        <v>0</v>
      </c>
      <c r="P42" s="190">
        <f t="shared" si="26"/>
        <v>0</v>
      </c>
      <c r="Q42" s="190">
        <f t="shared" si="26"/>
        <v>0</v>
      </c>
      <c r="R42" s="23">
        <f t="shared" ref="R42:R62" si="27">SUM(N42:Q42)</f>
        <v>2</v>
      </c>
    </row>
    <row r="43" spans="1:18" x14ac:dyDescent="0.35">
      <c r="A43" s="21" t="s">
        <v>31</v>
      </c>
      <c r="B43" s="365">
        <v>2</v>
      </c>
      <c r="C43" s="365"/>
      <c r="D43" s="365"/>
      <c r="E43" s="365"/>
      <c r="F43" s="23">
        <f t="shared" si="24"/>
        <v>2</v>
      </c>
      <c r="H43" s="23">
        <v>0</v>
      </c>
      <c r="I43" s="23"/>
      <c r="J43" s="23"/>
      <c r="K43" s="23"/>
      <c r="L43" s="23">
        <f t="shared" si="25"/>
        <v>0</v>
      </c>
      <c r="N43" s="190">
        <f t="shared" ref="N43:N62" si="28">B43+H43</f>
        <v>2</v>
      </c>
      <c r="O43" s="190">
        <f t="shared" ref="O43:O62" si="29">C43+I43</f>
        <v>0</v>
      </c>
      <c r="P43" s="190">
        <f t="shared" ref="P43:P62" si="30">D43+J43</f>
        <v>0</v>
      </c>
      <c r="Q43" s="190">
        <f t="shared" ref="Q43:Q62" si="31">E43+K43</f>
        <v>0</v>
      </c>
      <c r="R43" s="23">
        <f t="shared" si="27"/>
        <v>2</v>
      </c>
    </row>
    <row r="44" spans="1:18" x14ac:dyDescent="0.35">
      <c r="A44" s="34" t="s">
        <v>234</v>
      </c>
      <c r="B44" s="365">
        <v>1</v>
      </c>
      <c r="C44" s="365"/>
      <c r="D44" s="365"/>
      <c r="E44" s="365"/>
      <c r="F44" s="23">
        <f t="shared" si="24"/>
        <v>1</v>
      </c>
      <c r="H44" s="23">
        <v>0</v>
      </c>
      <c r="I44" s="23"/>
      <c r="J44" s="23"/>
      <c r="K44" s="23"/>
      <c r="L44" s="23">
        <f t="shared" si="25"/>
        <v>0</v>
      </c>
      <c r="N44" s="190">
        <f t="shared" si="28"/>
        <v>1</v>
      </c>
      <c r="O44" s="190">
        <f t="shared" si="29"/>
        <v>0</v>
      </c>
      <c r="P44" s="190">
        <f t="shared" si="30"/>
        <v>0</v>
      </c>
      <c r="Q44" s="190">
        <f t="shared" si="31"/>
        <v>0</v>
      </c>
      <c r="R44" s="23">
        <f t="shared" si="27"/>
        <v>1</v>
      </c>
    </row>
    <row r="45" spans="1:18" x14ac:dyDescent="0.35">
      <c r="A45" s="34" t="s">
        <v>252</v>
      </c>
      <c r="B45" s="365">
        <v>0</v>
      </c>
      <c r="C45" s="365"/>
      <c r="D45" s="365"/>
      <c r="E45" s="365"/>
      <c r="F45" s="23">
        <v>0</v>
      </c>
      <c r="H45" s="23">
        <v>0</v>
      </c>
      <c r="I45" s="23">
        <v>1</v>
      </c>
      <c r="J45" s="23"/>
      <c r="K45" s="23"/>
      <c r="L45" s="23">
        <f t="shared" si="25"/>
        <v>1</v>
      </c>
      <c r="N45" s="190">
        <f t="shared" si="28"/>
        <v>0</v>
      </c>
      <c r="O45" s="190">
        <f t="shared" si="29"/>
        <v>1</v>
      </c>
      <c r="P45" s="190">
        <f t="shared" si="30"/>
        <v>0</v>
      </c>
      <c r="Q45" s="190">
        <f t="shared" si="31"/>
        <v>0</v>
      </c>
      <c r="R45" s="23">
        <f t="shared" si="27"/>
        <v>1</v>
      </c>
    </row>
    <row r="46" spans="1:18" x14ac:dyDescent="0.35">
      <c r="A46" s="33" t="s">
        <v>32</v>
      </c>
      <c r="B46" s="365">
        <v>1</v>
      </c>
      <c r="C46" s="365"/>
      <c r="D46" s="365"/>
      <c r="E46" s="365"/>
      <c r="F46" s="23">
        <f t="shared" si="24"/>
        <v>1</v>
      </c>
      <c r="H46" s="23">
        <v>0</v>
      </c>
      <c r="I46" s="23"/>
      <c r="J46" s="23"/>
      <c r="K46" s="23"/>
      <c r="L46" s="23">
        <f t="shared" si="25"/>
        <v>0</v>
      </c>
      <c r="N46" s="190">
        <f t="shared" si="28"/>
        <v>1</v>
      </c>
      <c r="O46" s="190">
        <f t="shared" si="29"/>
        <v>0</v>
      </c>
      <c r="P46" s="190">
        <f t="shared" si="30"/>
        <v>0</v>
      </c>
      <c r="Q46" s="190">
        <f t="shared" si="31"/>
        <v>0</v>
      </c>
      <c r="R46" s="23">
        <f t="shared" si="27"/>
        <v>1</v>
      </c>
    </row>
    <row r="47" spans="1:18" x14ac:dyDescent="0.35">
      <c r="A47" s="33" t="s">
        <v>33</v>
      </c>
      <c r="B47" s="365">
        <v>1</v>
      </c>
      <c r="C47" s="365"/>
      <c r="D47" s="365"/>
      <c r="E47" s="365"/>
      <c r="F47" s="23">
        <f t="shared" si="24"/>
        <v>1</v>
      </c>
      <c r="H47" s="23">
        <v>0</v>
      </c>
      <c r="I47" s="23"/>
      <c r="J47" s="23"/>
      <c r="K47" s="23"/>
      <c r="L47" s="23">
        <f t="shared" si="25"/>
        <v>0</v>
      </c>
      <c r="N47" s="190">
        <f t="shared" si="28"/>
        <v>1</v>
      </c>
      <c r="O47" s="190">
        <f t="shared" si="29"/>
        <v>0</v>
      </c>
      <c r="P47" s="190">
        <f t="shared" si="30"/>
        <v>0</v>
      </c>
      <c r="Q47" s="190">
        <f t="shared" si="31"/>
        <v>0</v>
      </c>
      <c r="R47" s="23">
        <f t="shared" si="27"/>
        <v>1</v>
      </c>
    </row>
    <row r="48" spans="1:18" x14ac:dyDescent="0.35">
      <c r="A48" s="21" t="s">
        <v>230</v>
      </c>
      <c r="B48" s="365">
        <v>2</v>
      </c>
      <c r="C48" s="365"/>
      <c r="D48" s="365"/>
      <c r="E48" s="365"/>
      <c r="F48" s="23">
        <f t="shared" si="24"/>
        <v>2</v>
      </c>
      <c r="H48" s="23">
        <v>1</v>
      </c>
      <c r="I48" s="23"/>
      <c r="J48" s="23"/>
      <c r="K48" s="23"/>
      <c r="L48" s="23">
        <f t="shared" si="25"/>
        <v>1</v>
      </c>
      <c r="N48" s="190">
        <f t="shared" si="28"/>
        <v>3</v>
      </c>
      <c r="O48" s="190">
        <f t="shared" si="29"/>
        <v>0</v>
      </c>
      <c r="P48" s="190">
        <f t="shared" si="30"/>
        <v>0</v>
      </c>
      <c r="Q48" s="190">
        <f t="shared" si="31"/>
        <v>0</v>
      </c>
      <c r="R48" s="23">
        <f t="shared" si="27"/>
        <v>3</v>
      </c>
    </row>
    <row r="49" spans="1:18" x14ac:dyDescent="0.35">
      <c r="A49" s="21" t="s">
        <v>34</v>
      </c>
      <c r="B49" s="365">
        <v>1</v>
      </c>
      <c r="C49" s="365"/>
      <c r="D49" s="365"/>
      <c r="E49" s="365"/>
      <c r="F49" s="23">
        <f t="shared" si="24"/>
        <v>1</v>
      </c>
      <c r="H49" s="23">
        <v>1</v>
      </c>
      <c r="I49" s="23"/>
      <c r="J49" s="23"/>
      <c r="K49" s="23"/>
      <c r="L49" s="23">
        <f t="shared" si="25"/>
        <v>1</v>
      </c>
      <c r="N49" s="190">
        <f t="shared" si="28"/>
        <v>2</v>
      </c>
      <c r="O49" s="190">
        <f t="shared" si="29"/>
        <v>0</v>
      </c>
      <c r="P49" s="190">
        <f t="shared" si="30"/>
        <v>0</v>
      </c>
      <c r="Q49" s="190">
        <f t="shared" si="31"/>
        <v>0</v>
      </c>
      <c r="R49" s="23">
        <f t="shared" si="27"/>
        <v>2</v>
      </c>
    </row>
    <row r="50" spans="1:18" x14ac:dyDescent="0.35">
      <c r="A50" s="21" t="s">
        <v>35</v>
      </c>
      <c r="B50" s="367">
        <v>1</v>
      </c>
      <c r="C50" s="367"/>
      <c r="D50" s="367"/>
      <c r="E50" s="367"/>
      <c r="F50" s="23">
        <f t="shared" si="24"/>
        <v>1</v>
      </c>
      <c r="H50" s="157">
        <v>1</v>
      </c>
      <c r="I50" s="157"/>
      <c r="J50" s="157"/>
      <c r="K50" s="157"/>
      <c r="L50" s="23">
        <f t="shared" si="25"/>
        <v>1</v>
      </c>
      <c r="N50" s="190">
        <f t="shared" si="28"/>
        <v>2</v>
      </c>
      <c r="O50" s="190">
        <f t="shared" si="29"/>
        <v>0</v>
      </c>
      <c r="P50" s="190">
        <f t="shared" si="30"/>
        <v>0</v>
      </c>
      <c r="Q50" s="190">
        <f t="shared" si="31"/>
        <v>0</v>
      </c>
      <c r="R50" s="23">
        <f t="shared" si="27"/>
        <v>2</v>
      </c>
    </row>
    <row r="51" spans="1:18" x14ac:dyDescent="0.35">
      <c r="A51" s="21" t="s">
        <v>36</v>
      </c>
      <c r="B51" s="367">
        <v>1</v>
      </c>
      <c r="C51" s="367"/>
      <c r="D51" s="367"/>
      <c r="E51" s="367"/>
      <c r="F51" s="23">
        <f t="shared" si="24"/>
        <v>1</v>
      </c>
      <c r="H51" s="157">
        <v>1</v>
      </c>
      <c r="I51" s="157"/>
      <c r="J51" s="157"/>
      <c r="K51" s="157"/>
      <c r="L51" s="23">
        <f t="shared" si="25"/>
        <v>1</v>
      </c>
      <c r="N51" s="190">
        <f t="shared" si="28"/>
        <v>2</v>
      </c>
      <c r="O51" s="190">
        <f t="shared" si="29"/>
        <v>0</v>
      </c>
      <c r="P51" s="190">
        <f t="shared" si="30"/>
        <v>0</v>
      </c>
      <c r="Q51" s="190">
        <f t="shared" si="31"/>
        <v>0</v>
      </c>
      <c r="R51" s="23">
        <f t="shared" si="27"/>
        <v>2</v>
      </c>
    </row>
    <row r="52" spans="1:18" x14ac:dyDescent="0.35">
      <c r="A52" s="21" t="s">
        <v>206</v>
      </c>
      <c r="B52" s="368">
        <v>0</v>
      </c>
      <c r="C52" s="368">
        <v>4</v>
      </c>
      <c r="D52" s="368">
        <v>3</v>
      </c>
      <c r="E52" s="368"/>
      <c r="F52" s="23">
        <f t="shared" si="24"/>
        <v>7</v>
      </c>
      <c r="H52" s="158">
        <v>0</v>
      </c>
      <c r="I52" s="158">
        <v>0</v>
      </c>
      <c r="J52" s="158">
        <v>2</v>
      </c>
      <c r="K52" s="158"/>
      <c r="L52" s="23">
        <f t="shared" si="25"/>
        <v>2</v>
      </c>
      <c r="N52" s="190">
        <f t="shared" si="28"/>
        <v>0</v>
      </c>
      <c r="O52" s="190">
        <f t="shared" si="29"/>
        <v>4</v>
      </c>
      <c r="P52" s="190">
        <f t="shared" si="30"/>
        <v>5</v>
      </c>
      <c r="Q52" s="190">
        <f t="shared" si="31"/>
        <v>0</v>
      </c>
      <c r="R52" s="23">
        <f t="shared" si="27"/>
        <v>9</v>
      </c>
    </row>
    <row r="53" spans="1:18" x14ac:dyDescent="0.35">
      <c r="A53" s="21" t="s">
        <v>37</v>
      </c>
      <c r="B53" s="368">
        <v>1</v>
      </c>
      <c r="C53" s="368"/>
      <c r="D53" s="368"/>
      <c r="E53" s="368"/>
      <c r="F53" s="23">
        <f t="shared" si="24"/>
        <v>1</v>
      </c>
      <c r="H53" s="158">
        <v>1</v>
      </c>
      <c r="I53" s="158"/>
      <c r="J53" s="158"/>
      <c r="K53" s="158"/>
      <c r="L53" s="23">
        <f t="shared" si="25"/>
        <v>1</v>
      </c>
      <c r="N53" s="190">
        <f t="shared" si="28"/>
        <v>2</v>
      </c>
      <c r="O53" s="190">
        <f t="shared" si="29"/>
        <v>0</v>
      </c>
      <c r="P53" s="190">
        <f t="shared" si="30"/>
        <v>0</v>
      </c>
      <c r="Q53" s="190">
        <f t="shared" si="31"/>
        <v>0</v>
      </c>
      <c r="R53" s="23">
        <f t="shared" si="27"/>
        <v>2</v>
      </c>
    </row>
    <row r="54" spans="1:18" x14ac:dyDescent="0.35">
      <c r="A54" s="21" t="s">
        <v>38</v>
      </c>
      <c r="B54" s="367"/>
      <c r="C54" s="367"/>
      <c r="D54" s="367"/>
      <c r="E54" s="367">
        <v>1</v>
      </c>
      <c r="F54" s="23">
        <f t="shared" si="24"/>
        <v>1</v>
      </c>
      <c r="H54" s="157"/>
      <c r="I54" s="157"/>
      <c r="J54" s="157"/>
      <c r="K54" s="157">
        <v>1</v>
      </c>
      <c r="L54" s="23">
        <f t="shared" si="25"/>
        <v>1</v>
      </c>
      <c r="N54" s="190">
        <f t="shared" si="28"/>
        <v>0</v>
      </c>
      <c r="O54" s="190">
        <f t="shared" si="29"/>
        <v>0</v>
      </c>
      <c r="P54" s="190">
        <f t="shared" si="30"/>
        <v>0</v>
      </c>
      <c r="Q54" s="190">
        <f t="shared" si="31"/>
        <v>2</v>
      </c>
      <c r="R54" s="23">
        <f t="shared" si="27"/>
        <v>2</v>
      </c>
    </row>
    <row r="55" spans="1:18" x14ac:dyDescent="0.35">
      <c r="A55" s="21" t="s">
        <v>223</v>
      </c>
      <c r="B55" s="367">
        <v>0</v>
      </c>
      <c r="C55" s="367">
        <v>0</v>
      </c>
      <c r="D55" s="367"/>
      <c r="E55" s="367"/>
      <c r="F55" s="23">
        <f t="shared" si="24"/>
        <v>0</v>
      </c>
      <c r="H55" s="157">
        <v>0</v>
      </c>
      <c r="I55" s="157">
        <v>0</v>
      </c>
      <c r="J55" s="157"/>
      <c r="K55" s="157"/>
      <c r="L55" s="23">
        <f t="shared" si="25"/>
        <v>0</v>
      </c>
      <c r="N55" s="190">
        <f t="shared" si="28"/>
        <v>0</v>
      </c>
      <c r="O55" s="190">
        <f t="shared" si="29"/>
        <v>0</v>
      </c>
      <c r="P55" s="190">
        <f t="shared" si="30"/>
        <v>0</v>
      </c>
      <c r="Q55" s="190">
        <f t="shared" si="31"/>
        <v>0</v>
      </c>
      <c r="R55" s="23">
        <f t="shared" si="27"/>
        <v>0</v>
      </c>
    </row>
    <row r="56" spans="1:18" x14ac:dyDescent="0.35">
      <c r="A56" s="34" t="s">
        <v>39</v>
      </c>
      <c r="B56" s="367">
        <v>0</v>
      </c>
      <c r="C56" s="367"/>
      <c r="D56" s="367"/>
      <c r="E56" s="367"/>
      <c r="F56" s="23">
        <f t="shared" si="24"/>
        <v>0</v>
      </c>
      <c r="H56" s="157">
        <v>0</v>
      </c>
      <c r="I56" s="157"/>
      <c r="J56" s="157"/>
      <c r="K56" s="157"/>
      <c r="L56" s="23">
        <f t="shared" si="25"/>
        <v>0</v>
      </c>
      <c r="N56" s="190">
        <f t="shared" si="28"/>
        <v>0</v>
      </c>
      <c r="O56" s="190">
        <f t="shared" si="29"/>
        <v>0</v>
      </c>
      <c r="P56" s="190">
        <f t="shared" si="30"/>
        <v>0</v>
      </c>
      <c r="Q56" s="190">
        <f t="shared" si="31"/>
        <v>0</v>
      </c>
      <c r="R56" s="23">
        <f t="shared" si="27"/>
        <v>0</v>
      </c>
    </row>
    <row r="57" spans="1:18" x14ac:dyDescent="0.35">
      <c r="A57" s="34" t="s">
        <v>40</v>
      </c>
      <c r="B57" s="367">
        <v>0</v>
      </c>
      <c r="C57" s="367">
        <v>0</v>
      </c>
      <c r="D57" s="367">
        <v>1</v>
      </c>
      <c r="E57" s="367"/>
      <c r="F57" s="23">
        <f t="shared" si="24"/>
        <v>1</v>
      </c>
      <c r="H57" s="157">
        <v>0</v>
      </c>
      <c r="I57" s="157">
        <v>0</v>
      </c>
      <c r="J57" s="157">
        <v>0</v>
      </c>
      <c r="K57" s="157"/>
      <c r="L57" s="23">
        <f t="shared" si="25"/>
        <v>0</v>
      </c>
      <c r="N57" s="190">
        <f t="shared" si="28"/>
        <v>0</v>
      </c>
      <c r="O57" s="190">
        <f t="shared" si="29"/>
        <v>0</v>
      </c>
      <c r="P57" s="190">
        <f t="shared" si="30"/>
        <v>1</v>
      </c>
      <c r="Q57" s="190">
        <f t="shared" si="31"/>
        <v>0</v>
      </c>
      <c r="R57" s="23">
        <f t="shared" si="27"/>
        <v>1</v>
      </c>
    </row>
    <row r="58" spans="1:18" x14ac:dyDescent="0.35">
      <c r="A58" s="34" t="s">
        <v>41</v>
      </c>
      <c r="B58" s="367">
        <v>0</v>
      </c>
      <c r="C58" s="367">
        <v>0</v>
      </c>
      <c r="D58" s="367"/>
      <c r="E58" s="367"/>
      <c r="F58" s="23">
        <f t="shared" si="24"/>
        <v>0</v>
      </c>
      <c r="H58" s="157">
        <v>0</v>
      </c>
      <c r="I58" s="157">
        <v>0</v>
      </c>
      <c r="J58" s="157"/>
      <c r="K58" s="157"/>
      <c r="L58" s="23">
        <f t="shared" si="25"/>
        <v>0</v>
      </c>
      <c r="N58" s="190">
        <f t="shared" si="28"/>
        <v>0</v>
      </c>
      <c r="O58" s="190">
        <f t="shared" si="29"/>
        <v>0</v>
      </c>
      <c r="P58" s="190">
        <f t="shared" si="30"/>
        <v>0</v>
      </c>
      <c r="Q58" s="190">
        <f t="shared" si="31"/>
        <v>0</v>
      </c>
      <c r="R58" s="23">
        <f t="shared" si="27"/>
        <v>0</v>
      </c>
    </row>
    <row r="59" spans="1:18" x14ac:dyDescent="0.35">
      <c r="A59" s="34" t="s">
        <v>42</v>
      </c>
      <c r="B59" s="367">
        <v>0</v>
      </c>
      <c r="C59" s="367">
        <v>0</v>
      </c>
      <c r="D59" s="367"/>
      <c r="E59" s="367"/>
      <c r="F59" s="23">
        <f t="shared" si="24"/>
        <v>0</v>
      </c>
      <c r="H59" s="157">
        <v>0</v>
      </c>
      <c r="I59" s="157">
        <v>0</v>
      </c>
      <c r="J59" s="157"/>
      <c r="K59" s="157"/>
      <c r="L59" s="23">
        <f t="shared" si="25"/>
        <v>0</v>
      </c>
      <c r="N59" s="190">
        <f t="shared" si="28"/>
        <v>0</v>
      </c>
      <c r="O59" s="190">
        <f t="shared" si="29"/>
        <v>0</v>
      </c>
      <c r="P59" s="190">
        <f t="shared" si="30"/>
        <v>0</v>
      </c>
      <c r="Q59" s="190">
        <f t="shared" si="31"/>
        <v>0</v>
      </c>
      <c r="R59" s="23">
        <f t="shared" si="27"/>
        <v>0</v>
      </c>
    </row>
    <row r="60" spans="1:18" x14ac:dyDescent="0.35">
      <c r="A60" s="34" t="s">
        <v>43</v>
      </c>
      <c r="B60" s="367">
        <v>0</v>
      </c>
      <c r="C60" s="367">
        <v>0</v>
      </c>
      <c r="D60" s="367"/>
      <c r="E60" s="367"/>
      <c r="F60" s="23">
        <f t="shared" si="24"/>
        <v>0</v>
      </c>
      <c r="H60" s="157">
        <v>0</v>
      </c>
      <c r="I60" s="157">
        <v>0</v>
      </c>
      <c r="J60" s="157"/>
      <c r="K60" s="157"/>
      <c r="L60" s="23">
        <f t="shared" si="25"/>
        <v>0</v>
      </c>
      <c r="N60" s="190">
        <f t="shared" si="28"/>
        <v>0</v>
      </c>
      <c r="O60" s="190">
        <f t="shared" si="29"/>
        <v>0</v>
      </c>
      <c r="P60" s="190">
        <f t="shared" si="30"/>
        <v>0</v>
      </c>
      <c r="Q60" s="190">
        <f t="shared" si="31"/>
        <v>0</v>
      </c>
      <c r="R60" s="23">
        <f t="shared" si="27"/>
        <v>0</v>
      </c>
    </row>
    <row r="61" spans="1:18" x14ac:dyDescent="0.35">
      <c r="A61" s="34" t="s">
        <v>44</v>
      </c>
      <c r="B61" s="367">
        <v>0</v>
      </c>
      <c r="C61" s="367">
        <v>1</v>
      </c>
      <c r="D61" s="367"/>
      <c r="E61" s="367"/>
      <c r="F61" s="23">
        <f t="shared" si="24"/>
        <v>1</v>
      </c>
      <c r="H61" s="157">
        <v>0</v>
      </c>
      <c r="I61" s="157">
        <v>0.5</v>
      </c>
      <c r="J61" s="157"/>
      <c r="K61" s="157"/>
      <c r="L61" s="23">
        <f t="shared" si="25"/>
        <v>0.5</v>
      </c>
      <c r="N61" s="190">
        <f t="shared" si="28"/>
        <v>0</v>
      </c>
      <c r="O61" s="190">
        <f t="shared" si="29"/>
        <v>1.5</v>
      </c>
      <c r="P61" s="190">
        <f t="shared" si="30"/>
        <v>0</v>
      </c>
      <c r="Q61" s="190">
        <f t="shared" si="31"/>
        <v>0</v>
      </c>
      <c r="R61" s="23">
        <f t="shared" si="27"/>
        <v>1.5</v>
      </c>
    </row>
    <row r="62" spans="1:18" x14ac:dyDescent="0.35">
      <c r="A62" s="35"/>
      <c r="B62" s="365">
        <v>0</v>
      </c>
      <c r="C62" s="365">
        <v>0</v>
      </c>
      <c r="D62" s="365"/>
      <c r="E62" s="365"/>
      <c r="F62" s="23">
        <f t="shared" si="24"/>
        <v>0</v>
      </c>
      <c r="H62" s="23">
        <v>0</v>
      </c>
      <c r="I62" s="23">
        <v>0</v>
      </c>
      <c r="J62" s="23"/>
      <c r="K62" s="23"/>
      <c r="L62" s="23">
        <f t="shared" si="25"/>
        <v>0</v>
      </c>
      <c r="N62" s="190">
        <f t="shared" si="28"/>
        <v>0</v>
      </c>
      <c r="O62" s="190">
        <f t="shared" si="29"/>
        <v>0</v>
      </c>
      <c r="P62" s="190">
        <f t="shared" si="30"/>
        <v>0</v>
      </c>
      <c r="Q62" s="190">
        <f t="shared" si="31"/>
        <v>0</v>
      </c>
      <c r="R62" s="23">
        <f t="shared" si="27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32">SUM(C42:C61)</f>
        <v>5</v>
      </c>
      <c r="D63" s="30">
        <f t="shared" si="32"/>
        <v>4</v>
      </c>
      <c r="E63" s="30">
        <f t="shared" si="32"/>
        <v>1</v>
      </c>
      <c r="F63" s="30">
        <f t="shared" si="32"/>
        <v>22</v>
      </c>
      <c r="H63" s="30">
        <f>SUM(H42:H61)</f>
        <v>6</v>
      </c>
      <c r="I63" s="30">
        <f t="shared" ref="I63:L63" si="33">SUM(I42:I61)</f>
        <v>1.5</v>
      </c>
      <c r="J63" s="30">
        <f t="shared" si="33"/>
        <v>2</v>
      </c>
      <c r="K63" s="30">
        <f t="shared" si="33"/>
        <v>1</v>
      </c>
      <c r="L63" s="30">
        <f t="shared" si="33"/>
        <v>10.5</v>
      </c>
      <c r="N63" s="30">
        <f>SUM(N42:N61)</f>
        <v>18</v>
      </c>
      <c r="O63" s="30">
        <f t="shared" ref="O63:R63" si="34">SUM(O42:O61)</f>
        <v>6.5</v>
      </c>
      <c r="P63" s="30">
        <f t="shared" si="34"/>
        <v>6</v>
      </c>
      <c r="Q63" s="30">
        <f t="shared" si="34"/>
        <v>2</v>
      </c>
      <c r="R63" s="30">
        <f t="shared" si="34"/>
        <v>32.5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35">E39</f>
        <v>0</v>
      </c>
      <c r="F65" s="39">
        <f>F39</f>
        <v>45.5</v>
      </c>
      <c r="H65" s="39">
        <f>H39</f>
        <v>24.5</v>
      </c>
      <c r="I65" s="39">
        <f>I61</f>
        <v>0.5</v>
      </c>
      <c r="J65" s="39">
        <f>J39</f>
        <v>4</v>
      </c>
      <c r="K65" s="39">
        <f t="shared" ref="K65" si="36">K39</f>
        <v>0</v>
      </c>
      <c r="L65" s="39">
        <f>L39</f>
        <v>28.5</v>
      </c>
      <c r="N65" s="39">
        <f>N39</f>
        <v>66.5</v>
      </c>
      <c r="O65" s="39">
        <f>O61</f>
        <v>1.5</v>
      </c>
      <c r="P65" s="39">
        <f>P39</f>
        <v>7.5</v>
      </c>
      <c r="Q65" s="39">
        <f t="shared" ref="Q65" si="37">Q39</f>
        <v>0</v>
      </c>
      <c r="R65" s="39">
        <f>R39</f>
        <v>74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38">E63</f>
        <v>1</v>
      </c>
      <c r="F66" s="42">
        <f t="shared" si="38"/>
        <v>22</v>
      </c>
      <c r="H66" s="42">
        <f>H63</f>
        <v>6</v>
      </c>
      <c r="I66" s="42">
        <f>I63</f>
        <v>1.5</v>
      </c>
      <c r="J66" s="42">
        <f>J63</f>
        <v>2</v>
      </c>
      <c r="K66" s="42">
        <f t="shared" ref="K66:L66" si="39">K63</f>
        <v>1</v>
      </c>
      <c r="L66" s="42">
        <f t="shared" si="39"/>
        <v>10.5</v>
      </c>
      <c r="N66" s="42">
        <f>N63</f>
        <v>18</v>
      </c>
      <c r="O66" s="42">
        <f>O63</f>
        <v>6.5</v>
      </c>
      <c r="P66" s="42">
        <f>P63</f>
        <v>6</v>
      </c>
      <c r="Q66" s="42">
        <f t="shared" ref="Q66:R66" si="40">Q63</f>
        <v>2</v>
      </c>
      <c r="R66" s="42">
        <f t="shared" si="40"/>
        <v>32.5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41">SUM(C65:C66)</f>
        <v>6</v>
      </c>
      <c r="D67" s="44">
        <f>SUM(D65:D66)</f>
        <v>7.5</v>
      </c>
      <c r="E67" s="44">
        <f t="shared" ref="E67:F67" si="42">SUM(E65:E66)</f>
        <v>1</v>
      </c>
      <c r="F67" s="44">
        <f t="shared" si="42"/>
        <v>67.5</v>
      </c>
      <c r="H67" s="44">
        <f>SUM(H65:H66)</f>
        <v>30.5</v>
      </c>
      <c r="I67" s="44">
        <f t="shared" ref="I67" si="43">SUM(I65:I66)</f>
        <v>2</v>
      </c>
      <c r="J67" s="44">
        <f>SUM(J65:J66)</f>
        <v>6</v>
      </c>
      <c r="K67" s="44">
        <f t="shared" ref="K67:L67" si="44">SUM(K65:K66)</f>
        <v>1</v>
      </c>
      <c r="L67" s="44">
        <f t="shared" si="44"/>
        <v>39</v>
      </c>
      <c r="N67" s="44">
        <f>SUM(N65:N66)</f>
        <v>84.5</v>
      </c>
      <c r="O67" s="44">
        <f t="shared" ref="O67" si="45">SUM(O65:O66)</f>
        <v>8</v>
      </c>
      <c r="P67" s="44">
        <f>SUM(P65:P66)</f>
        <v>13.5</v>
      </c>
      <c r="Q67" s="44">
        <f t="shared" ref="Q67:R67" si="46">SUM(Q65:Q66)</f>
        <v>2</v>
      </c>
      <c r="R67" s="44">
        <f t="shared" si="46"/>
        <v>106.5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47">F138/(SUM(F205:F215))</f>
        <v>0.61099814358128179</v>
      </c>
      <c r="H69" s="47"/>
      <c r="I69" s="47"/>
      <c r="J69" s="47"/>
      <c r="K69" s="47"/>
      <c r="L69" s="47">
        <f t="shared" ref="L69" si="48">L138/(SUM(L205:L215))</f>
        <v>0.62799007825597164</v>
      </c>
      <c r="N69" s="47"/>
      <c r="O69" s="47"/>
      <c r="P69" s="47"/>
      <c r="Q69" s="47"/>
      <c r="R69" s="47">
        <f t="shared" ref="R69" si="49">R138/(SUM(R205:R215))</f>
        <v>0.61720715099261758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50">(F109+F110+F111+F114)/F130</f>
        <v>0.73527905927363413</v>
      </c>
      <c r="H70" s="49"/>
      <c r="I70" s="49"/>
      <c r="J70" s="49"/>
      <c r="K70" s="49"/>
      <c r="L70" s="49">
        <f t="shared" ref="L70" si="51">(L109+L110+L111+L114)/L130</f>
        <v>0.76308668567539428</v>
      </c>
      <c r="N70" s="49"/>
      <c r="O70" s="49"/>
      <c r="P70" s="49"/>
      <c r="Q70" s="49"/>
      <c r="R70" s="49">
        <f t="shared" ref="R70" si="52">(R109+R110+R111+R114)/R130</f>
        <v>0.74519761419529662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53">(F104+F105+F107+F108+F112+F113+F115+F116+F119+F120+F121+F122+F123+F106+F124+F125+F126+F127+F128)/F130</f>
        <v>0.26472094072636593</v>
      </c>
      <c r="H71" s="49"/>
      <c r="I71" s="49"/>
      <c r="J71" s="49"/>
      <c r="K71" s="49"/>
      <c r="L71" s="49">
        <f t="shared" ref="L71" si="54">(L104+L105+L107+L108+L112+L113+L115+L116+L119+L120+L121+L122+L123+L106+L124+L125+L126+L127+L128)/L130</f>
        <v>0.23691331432460572</v>
      </c>
      <c r="N71" s="49"/>
      <c r="O71" s="49"/>
      <c r="P71" s="49"/>
      <c r="Q71" s="49"/>
      <c r="R71" s="49">
        <f t="shared" ref="R71" si="55">(R104+R105+R107+R108+R112+R113+R115+R116+R119+R120+R121+R122+R123+R106+R124+R125+R126+R127+R128)/R130</f>
        <v>0.25480238580470332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56">SUM(F207:F215)/F87</f>
        <v>0.14347052835719865</v>
      </c>
      <c r="H72" s="53"/>
      <c r="I72" s="53"/>
      <c r="J72" s="53"/>
      <c r="K72" s="53"/>
      <c r="L72" s="53">
        <f t="shared" ref="L72" si="57">SUM(L207:L215)/L87</f>
        <v>0.14281253094271504</v>
      </c>
      <c r="N72" s="53"/>
      <c r="O72" s="53"/>
      <c r="P72" s="53"/>
      <c r="Q72" s="53"/>
      <c r="R72" s="53">
        <f t="shared" ref="R72" si="58">SUM(R207:R215)/R87</f>
        <v>0.14323961857006037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9">C1</f>
        <v>Weights</v>
      </c>
      <c r="D74" s="59" t="s">
        <v>15</v>
      </c>
      <c r="E74" s="59" t="str">
        <f t="shared" ref="E74" si="60">E1</f>
        <v>NSLP</v>
      </c>
      <c r="F74" s="59" t="s">
        <v>231</v>
      </c>
      <c r="H74" s="59" t="str">
        <f>H1</f>
        <v>Operating</v>
      </c>
      <c r="I74" s="59" t="str">
        <f t="shared" ref="I74" si="61">I1</f>
        <v>Weights</v>
      </c>
      <c r="J74" s="59" t="s">
        <v>15</v>
      </c>
      <c r="K74" s="59" t="str">
        <f t="shared" ref="K74" si="62">K1</f>
        <v>NSLP</v>
      </c>
      <c r="L74" s="59" t="s">
        <v>231</v>
      </c>
      <c r="N74" s="59" t="str">
        <f>N1</f>
        <v>Operating</v>
      </c>
      <c r="O74" s="59" t="str">
        <f t="shared" ref="O74" si="63">O1</f>
        <v>Weights</v>
      </c>
      <c r="P74" s="59" t="s">
        <v>15</v>
      </c>
      <c r="Q74" s="59" t="str">
        <f t="shared" ref="Q74" si="64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7186140</v>
      </c>
      <c r="C75" s="7">
        <f t="shared" ref="C75" si="65">(C2*C5)*0.95</f>
        <v>0</v>
      </c>
      <c r="D75" s="7"/>
      <c r="E75" s="7"/>
      <c r="F75" s="7">
        <f t="shared" ref="F75:F86" si="66">SUM(B75:E75)</f>
        <v>7186140</v>
      </c>
      <c r="H75" s="7">
        <f>(H2*H5)</f>
        <v>3924960</v>
      </c>
      <c r="I75" s="7">
        <f t="shared" ref="I75" si="67">(I2*I5)*0.95</f>
        <v>0</v>
      </c>
      <c r="J75" s="7"/>
      <c r="K75" s="7"/>
      <c r="L75" s="7">
        <f t="shared" ref="L75:L86" si="68">SUM(H75:K75)</f>
        <v>3924960</v>
      </c>
      <c r="N75" s="7">
        <f>B75+H75</f>
        <v>11111100</v>
      </c>
      <c r="O75" s="7">
        <f t="shared" ref="O75:Q75" si="69">C75+I75</f>
        <v>0</v>
      </c>
      <c r="P75" s="7">
        <f t="shared" si="69"/>
        <v>0</v>
      </c>
      <c r="Q75" s="7">
        <f t="shared" si="69"/>
        <v>0</v>
      </c>
      <c r="R75" s="7">
        <f t="shared" ref="R75:R86" si="70">SUM(N75:Q75)</f>
        <v>11111100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71">(C3*C5)*0.95</f>
        <v>0</v>
      </c>
      <c r="D76" s="15">
        <v>74124</v>
      </c>
      <c r="E76" s="7"/>
      <c r="F76" s="7">
        <f t="shared" si="66"/>
        <v>74124</v>
      </c>
      <c r="H76" s="7">
        <f>(H3*H5)*0.95</f>
        <v>0</v>
      </c>
      <c r="I76" s="7">
        <f t="shared" ref="I76" si="72">(I3*I5)*0.95</f>
        <v>0</v>
      </c>
      <c r="J76" s="15">
        <v>0</v>
      </c>
      <c r="K76" s="7"/>
      <c r="L76" s="7">
        <f t="shared" si="68"/>
        <v>0</v>
      </c>
      <c r="N76" s="7">
        <f t="shared" ref="N76:N85" si="73">B76+H76</f>
        <v>0</v>
      </c>
      <c r="O76" s="7">
        <f t="shared" ref="O76:O86" si="74">C76+I76</f>
        <v>0</v>
      </c>
      <c r="P76" s="7">
        <f t="shared" ref="P76:P86" si="75">D76+J76</f>
        <v>74124</v>
      </c>
      <c r="Q76" s="7">
        <f t="shared" ref="Q76:Q86" si="76">E76+K76</f>
        <v>0</v>
      </c>
      <c r="R76" s="7">
        <f t="shared" si="70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77">($C$19*C25)*3.15*180</f>
        <v>0</v>
      </c>
      <c r="D77" s="7"/>
      <c r="E77" s="7">
        <f>(B19*E25)*3.5*180</f>
        <v>62748.000000000007</v>
      </c>
      <c r="F77" s="7">
        <f t="shared" si="66"/>
        <v>62748.000000000007</v>
      </c>
      <c r="H77" s="7">
        <f>($C$19*H25)*3.15*180</f>
        <v>0</v>
      </c>
      <c r="I77" s="7">
        <f t="shared" ref="I77" si="78">($C$19*I25)*3.15*180</f>
        <v>0</v>
      </c>
      <c r="J77" s="7"/>
      <c r="K77" s="7">
        <f>(H19*K25)*3.5*180</f>
        <v>188496.00000000006</v>
      </c>
      <c r="L77" s="7">
        <f t="shared" si="68"/>
        <v>188496.00000000006</v>
      </c>
      <c r="N77" s="7">
        <f t="shared" si="73"/>
        <v>0</v>
      </c>
      <c r="O77" s="7">
        <f t="shared" si="74"/>
        <v>0</v>
      </c>
      <c r="P77" s="7">
        <f t="shared" si="75"/>
        <v>0</v>
      </c>
      <c r="Q77" s="7">
        <f t="shared" si="76"/>
        <v>251244.00000000006</v>
      </c>
      <c r="R77" s="7">
        <f t="shared" si="70"/>
        <v>251244.00000000006</v>
      </c>
    </row>
    <row r="78" spans="1:18" x14ac:dyDescent="0.35">
      <c r="A78" s="63" t="s">
        <v>54</v>
      </c>
      <c r="B78" s="7">
        <f>950*B22</f>
        <v>0</v>
      </c>
      <c r="C78" s="7">
        <f t="shared" ref="C78" si="79">950*C22</f>
        <v>0</v>
      </c>
      <c r="D78" s="7">
        <f>950*D22</f>
        <v>102600</v>
      </c>
      <c r="E78" s="7"/>
      <c r="F78" s="7">
        <f t="shared" si="66"/>
        <v>102600</v>
      </c>
      <c r="H78" s="7">
        <f>950*H22</f>
        <v>0</v>
      </c>
      <c r="I78" s="7">
        <f t="shared" ref="I78" si="80">950*I22</f>
        <v>0</v>
      </c>
      <c r="J78" s="7">
        <f>950*J22</f>
        <v>87856</v>
      </c>
      <c r="K78" s="7"/>
      <c r="L78" s="7">
        <f t="shared" si="68"/>
        <v>87856</v>
      </c>
      <c r="N78" s="7">
        <f t="shared" si="73"/>
        <v>0</v>
      </c>
      <c r="O78" s="7">
        <f t="shared" si="74"/>
        <v>0</v>
      </c>
      <c r="P78" s="7">
        <f t="shared" si="75"/>
        <v>190456</v>
      </c>
      <c r="Q78" s="7">
        <f t="shared" si="76"/>
        <v>0</v>
      </c>
      <c r="R78" s="7">
        <f t="shared" si="70"/>
        <v>190456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81">3200*C22</f>
        <v>0</v>
      </c>
      <c r="D79" s="37">
        <f>2600*D22</f>
        <v>280800</v>
      </c>
      <c r="E79" s="37"/>
      <c r="F79" s="7">
        <f t="shared" si="66"/>
        <v>280800</v>
      </c>
      <c r="H79" s="37">
        <f>3200*H22</f>
        <v>0</v>
      </c>
      <c r="I79" s="37">
        <f t="shared" ref="I79" si="82">3200*I22</f>
        <v>0</v>
      </c>
      <c r="J79" s="37">
        <v>0</v>
      </c>
      <c r="K79" s="37"/>
      <c r="L79" s="7">
        <f t="shared" si="68"/>
        <v>0</v>
      </c>
      <c r="N79" s="7">
        <f t="shared" si="73"/>
        <v>0</v>
      </c>
      <c r="O79" s="7">
        <f t="shared" si="74"/>
        <v>0</v>
      </c>
      <c r="P79" s="7">
        <f t="shared" si="75"/>
        <v>280800</v>
      </c>
      <c r="Q79" s="7">
        <f t="shared" si="76"/>
        <v>0</v>
      </c>
      <c r="R79" s="7">
        <f t="shared" si="70"/>
        <v>280800</v>
      </c>
    </row>
    <row r="80" spans="1:18" x14ac:dyDescent="0.35">
      <c r="A80" s="63" t="s">
        <v>213</v>
      </c>
      <c r="B80" s="37">
        <f>1400*B23</f>
        <v>0</v>
      </c>
      <c r="C80" s="37">
        <f>1669*C23</f>
        <v>5007</v>
      </c>
      <c r="D80" s="37"/>
      <c r="E80" s="37"/>
      <c r="F80" s="7">
        <f t="shared" si="66"/>
        <v>5007</v>
      </c>
      <c r="H80" s="37">
        <f>1400*H23</f>
        <v>0</v>
      </c>
      <c r="I80" s="37">
        <f>1669*I23</f>
        <v>0</v>
      </c>
      <c r="J80" s="37"/>
      <c r="K80" s="37"/>
      <c r="L80" s="7">
        <f t="shared" si="68"/>
        <v>0</v>
      </c>
      <c r="N80" s="7">
        <f t="shared" si="73"/>
        <v>0</v>
      </c>
      <c r="O80" s="7">
        <f t="shared" si="74"/>
        <v>5007</v>
      </c>
      <c r="P80" s="7">
        <f t="shared" si="75"/>
        <v>0</v>
      </c>
      <c r="Q80" s="7">
        <f t="shared" si="76"/>
        <v>0</v>
      </c>
      <c r="R80" s="7">
        <f t="shared" si="70"/>
        <v>5007</v>
      </c>
    </row>
    <row r="81" spans="1:18" x14ac:dyDescent="0.35">
      <c r="A81" s="63" t="s">
        <v>214</v>
      </c>
      <c r="B81" s="7">
        <f>830*B24</f>
        <v>0</v>
      </c>
      <c r="C81" s="7">
        <f>862*C24</f>
        <v>45686</v>
      </c>
      <c r="D81" s="7"/>
      <c r="E81" s="7"/>
      <c r="F81" s="7">
        <f t="shared" si="66"/>
        <v>45686</v>
      </c>
      <c r="H81" s="7">
        <f>830*H24</f>
        <v>0</v>
      </c>
      <c r="I81" s="7">
        <f>862*I24</f>
        <v>0</v>
      </c>
      <c r="J81" s="7"/>
      <c r="K81" s="7"/>
      <c r="L81" s="7">
        <f t="shared" si="68"/>
        <v>0</v>
      </c>
      <c r="N81" s="7">
        <f t="shared" si="73"/>
        <v>0</v>
      </c>
      <c r="O81" s="7">
        <f t="shared" si="74"/>
        <v>45686</v>
      </c>
      <c r="P81" s="7">
        <f t="shared" si="75"/>
        <v>0</v>
      </c>
      <c r="Q81" s="7">
        <f t="shared" si="76"/>
        <v>0</v>
      </c>
      <c r="R81" s="7">
        <f t="shared" si="70"/>
        <v>45686</v>
      </c>
    </row>
    <row r="82" spans="1:18" x14ac:dyDescent="0.35">
      <c r="A82" s="63" t="s">
        <v>215</v>
      </c>
      <c r="B82" s="7">
        <f>240*B26</f>
        <v>0</v>
      </c>
      <c r="C82" s="7">
        <f>247*C26</f>
        <v>13585</v>
      </c>
      <c r="D82" s="7"/>
      <c r="E82" s="7"/>
      <c r="F82" s="7">
        <f t="shared" si="66"/>
        <v>13585</v>
      </c>
      <c r="H82" s="7">
        <f>240*H26</f>
        <v>0</v>
      </c>
      <c r="I82" s="7">
        <f>247*I26</f>
        <v>0</v>
      </c>
      <c r="J82" s="7"/>
      <c r="K82" s="7"/>
      <c r="L82" s="7">
        <f t="shared" si="68"/>
        <v>0</v>
      </c>
      <c r="N82" s="7">
        <f t="shared" si="73"/>
        <v>0</v>
      </c>
      <c r="O82" s="7">
        <f t="shared" si="74"/>
        <v>13585</v>
      </c>
      <c r="P82" s="7">
        <f t="shared" si="75"/>
        <v>0</v>
      </c>
      <c r="Q82" s="7">
        <f t="shared" si="76"/>
        <v>0</v>
      </c>
      <c r="R82" s="7">
        <f t="shared" si="70"/>
        <v>13585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66"/>
        <v>0</v>
      </c>
      <c r="H83" s="7"/>
      <c r="I83" s="7"/>
      <c r="J83" s="7"/>
      <c r="K83" s="7"/>
      <c r="L83" s="7">
        <f t="shared" si="68"/>
        <v>0</v>
      </c>
      <c r="N83" s="7">
        <f t="shared" si="73"/>
        <v>0</v>
      </c>
      <c r="O83" s="7">
        <f t="shared" si="74"/>
        <v>0</v>
      </c>
      <c r="P83" s="7">
        <f t="shared" si="75"/>
        <v>0</v>
      </c>
      <c r="Q83" s="7">
        <f t="shared" si="76"/>
        <v>0</v>
      </c>
      <c r="R83" s="7">
        <f t="shared" si="70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66"/>
        <v>0</v>
      </c>
      <c r="H84" s="7"/>
      <c r="I84" s="7"/>
      <c r="J84" s="7"/>
      <c r="K84" s="7"/>
      <c r="L84" s="7">
        <f t="shared" si="68"/>
        <v>0</v>
      </c>
      <c r="N84" s="7">
        <f t="shared" si="73"/>
        <v>0</v>
      </c>
      <c r="O84" s="7">
        <f t="shared" si="74"/>
        <v>0</v>
      </c>
      <c r="P84" s="7">
        <f t="shared" si="75"/>
        <v>0</v>
      </c>
      <c r="Q84" s="7">
        <f t="shared" si="76"/>
        <v>0</v>
      </c>
      <c r="R84" s="7">
        <f t="shared" si="70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66"/>
        <v>0</v>
      </c>
      <c r="H85" s="7"/>
      <c r="I85" s="7"/>
      <c r="J85" s="7"/>
      <c r="K85" s="7"/>
      <c r="L85" s="7">
        <f t="shared" si="68"/>
        <v>0</v>
      </c>
      <c r="N85" s="7">
        <f t="shared" si="73"/>
        <v>0</v>
      </c>
      <c r="O85" s="7">
        <f t="shared" si="74"/>
        <v>0</v>
      </c>
      <c r="P85" s="7">
        <f t="shared" si="75"/>
        <v>0</v>
      </c>
      <c r="Q85" s="7">
        <f t="shared" si="76"/>
        <v>0</v>
      </c>
      <c r="R85" s="7">
        <f t="shared" si="70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66"/>
        <v>0</v>
      </c>
      <c r="H86" s="37"/>
      <c r="I86" s="37"/>
      <c r="J86" s="37"/>
      <c r="K86" s="37"/>
      <c r="L86" s="7">
        <f t="shared" si="68"/>
        <v>0</v>
      </c>
      <c r="N86" s="7">
        <f>B86+H86</f>
        <v>0</v>
      </c>
      <c r="O86" s="7">
        <f t="shared" si="74"/>
        <v>0</v>
      </c>
      <c r="P86" s="7">
        <f t="shared" si="75"/>
        <v>0</v>
      </c>
      <c r="Q86" s="7">
        <f t="shared" si="76"/>
        <v>0</v>
      </c>
      <c r="R86" s="7">
        <f t="shared" si="70"/>
        <v>0</v>
      </c>
    </row>
    <row r="87" spans="1:18" ht="15" thickBot="1" x14ac:dyDescent="0.4">
      <c r="A87" s="68" t="s">
        <v>57</v>
      </c>
      <c r="B87" s="69">
        <f>SUM(B75:B86)</f>
        <v>7186140</v>
      </c>
      <c r="C87" s="69">
        <f t="shared" ref="C87" si="83">SUM(C75:C86)</f>
        <v>64278</v>
      </c>
      <c r="D87" s="69">
        <f>SUM(D75:D86)</f>
        <v>457524</v>
      </c>
      <c r="E87" s="69">
        <f t="shared" ref="E87:F87" si="84">SUM(E75:E86)</f>
        <v>62748.000000000007</v>
      </c>
      <c r="F87" s="69">
        <f t="shared" si="84"/>
        <v>7770690</v>
      </c>
      <c r="H87" s="69">
        <f>SUM(H75:H86)</f>
        <v>3924960</v>
      </c>
      <c r="I87" s="69">
        <f t="shared" ref="I87" si="85">SUM(I75:I86)</f>
        <v>0</v>
      </c>
      <c r="J87" s="69">
        <f>SUM(J75:J86)</f>
        <v>87856</v>
      </c>
      <c r="K87" s="69">
        <f t="shared" ref="K87:L87" si="86">SUM(K75:K86)</f>
        <v>188496.00000000006</v>
      </c>
      <c r="L87" s="69">
        <f t="shared" si="86"/>
        <v>4201312</v>
      </c>
      <c r="N87" s="69">
        <f>SUM(N75:N86)</f>
        <v>11111100</v>
      </c>
      <c r="O87" s="69">
        <f t="shared" ref="O87" si="87">SUM(O75:O86)</f>
        <v>64278</v>
      </c>
      <c r="P87" s="69">
        <f>SUM(P75:P86)</f>
        <v>545380</v>
      </c>
      <c r="Q87" s="69">
        <f t="shared" ref="Q87:R87" si="88">SUM(Q75:Q86)</f>
        <v>251244.00000000006</v>
      </c>
      <c r="R87" s="69">
        <f t="shared" si="88"/>
        <v>11972002</v>
      </c>
    </row>
    <row r="88" spans="1:18" hidden="1" x14ac:dyDescent="0.35">
      <c r="A88" s="61" t="s">
        <v>211</v>
      </c>
      <c r="B88" s="62">
        <f>B2*B5</f>
        <v>7186140</v>
      </c>
      <c r="C88" s="62">
        <f t="shared" ref="C88" si="89">C2*C5</f>
        <v>0</v>
      </c>
      <c r="D88" s="62">
        <f>D2*D5</f>
        <v>0</v>
      </c>
      <c r="E88" s="62">
        <f t="shared" ref="E88:F88" si="90">E2*E5</f>
        <v>0</v>
      </c>
      <c r="F88" s="62">
        <f t="shared" si="90"/>
        <v>7186140</v>
      </c>
      <c r="H88" s="62">
        <f>H2*H5</f>
        <v>3924960</v>
      </c>
      <c r="I88" s="62">
        <f t="shared" ref="I88" si="91">I2*I5</f>
        <v>0</v>
      </c>
      <c r="J88" s="62">
        <f>J2*J5</f>
        <v>0</v>
      </c>
      <c r="K88" s="62">
        <f t="shared" ref="K88:L88" si="92">K2*K5</f>
        <v>0</v>
      </c>
      <c r="L88" s="62">
        <f t="shared" si="92"/>
        <v>3924960</v>
      </c>
      <c r="N88" s="62">
        <f>N2*N5</f>
        <v>11111100</v>
      </c>
      <c r="O88" s="62">
        <f t="shared" ref="O88" si="93">O2*O5</f>
        <v>0</v>
      </c>
      <c r="P88" s="62">
        <f>P2*P5</f>
        <v>0</v>
      </c>
      <c r="Q88" s="62">
        <f t="shared" ref="Q88:R88" si="94">Q2*Q5</f>
        <v>0</v>
      </c>
      <c r="R88" s="62">
        <f t="shared" si="94"/>
        <v>11111100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95">C3*C5</f>
        <v>0</v>
      </c>
      <c r="D89" s="62">
        <f>D76</f>
        <v>74124</v>
      </c>
      <c r="E89" s="62">
        <f t="shared" ref="E89" si="96">E3*E5</f>
        <v>0</v>
      </c>
      <c r="F89" s="62">
        <f>SUM(D89)</f>
        <v>74124</v>
      </c>
      <c r="H89" s="62">
        <f>H3*H5</f>
        <v>0</v>
      </c>
      <c r="I89" s="62">
        <f t="shared" ref="I89" si="97">I3*I5</f>
        <v>0</v>
      </c>
      <c r="J89" s="62">
        <f>J76</f>
        <v>0</v>
      </c>
      <c r="K89" s="62">
        <f t="shared" ref="K89" si="98">K3*K5</f>
        <v>0</v>
      </c>
      <c r="L89" s="62">
        <f>SUM(J89)</f>
        <v>0</v>
      </c>
      <c r="N89" s="62">
        <f>N3*N5</f>
        <v>0</v>
      </c>
      <c r="O89" s="62">
        <f t="shared" ref="O89" si="99">O3*O5</f>
        <v>0</v>
      </c>
      <c r="P89" s="62">
        <f>P76</f>
        <v>74124</v>
      </c>
      <c r="Q89" s="62">
        <f t="shared" ref="Q89" si="100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101">B77</f>
        <v>0</v>
      </c>
      <c r="C90" s="62">
        <f t="shared" si="101"/>
        <v>0</v>
      </c>
      <c r="D90" s="62">
        <f t="shared" si="101"/>
        <v>0</v>
      </c>
      <c r="E90" s="62">
        <f t="shared" si="101"/>
        <v>62748.000000000007</v>
      </c>
      <c r="F90" s="62">
        <f t="shared" si="101"/>
        <v>62748.000000000007</v>
      </c>
      <c r="H90" s="62">
        <f t="shared" ref="H90:L90" si="102">H77</f>
        <v>0</v>
      </c>
      <c r="I90" s="62">
        <f t="shared" si="102"/>
        <v>0</v>
      </c>
      <c r="J90" s="62">
        <f t="shared" si="102"/>
        <v>0</v>
      </c>
      <c r="K90" s="62">
        <f t="shared" si="102"/>
        <v>188496.00000000006</v>
      </c>
      <c r="L90" s="62">
        <f t="shared" si="102"/>
        <v>188496.00000000006</v>
      </c>
      <c r="N90" s="62">
        <f t="shared" ref="N90:R90" si="103">N77</f>
        <v>0</v>
      </c>
      <c r="O90" s="62">
        <f t="shared" si="103"/>
        <v>0</v>
      </c>
      <c r="P90" s="62">
        <f t="shared" si="103"/>
        <v>0</v>
      </c>
      <c r="Q90" s="62">
        <f t="shared" si="103"/>
        <v>251244.00000000006</v>
      </c>
      <c r="R90" s="62">
        <f t="shared" si="103"/>
        <v>251244.00000000006</v>
      </c>
    </row>
    <row r="91" spans="1:18" hidden="1" x14ac:dyDescent="0.35">
      <c r="A91" s="63" t="s">
        <v>54</v>
      </c>
      <c r="B91" s="62">
        <f t="shared" si="101"/>
        <v>0</v>
      </c>
      <c r="C91" s="62">
        <f t="shared" si="101"/>
        <v>0</v>
      </c>
      <c r="D91" s="62">
        <f t="shared" si="101"/>
        <v>102600</v>
      </c>
      <c r="E91" s="62">
        <f t="shared" si="101"/>
        <v>0</v>
      </c>
      <c r="F91" s="62">
        <f t="shared" si="101"/>
        <v>102600</v>
      </c>
      <c r="H91" s="62">
        <f t="shared" ref="H91:L91" si="104">H78</f>
        <v>0</v>
      </c>
      <c r="I91" s="62">
        <f t="shared" si="104"/>
        <v>0</v>
      </c>
      <c r="J91" s="62">
        <f t="shared" si="104"/>
        <v>87856</v>
      </c>
      <c r="K91" s="62">
        <f t="shared" si="104"/>
        <v>0</v>
      </c>
      <c r="L91" s="62">
        <f t="shared" si="104"/>
        <v>87856</v>
      </c>
      <c r="N91" s="62">
        <f t="shared" ref="N91:R91" si="105">N78</f>
        <v>0</v>
      </c>
      <c r="O91" s="62">
        <f t="shared" si="105"/>
        <v>0</v>
      </c>
      <c r="P91" s="62">
        <f t="shared" si="105"/>
        <v>190456</v>
      </c>
      <c r="Q91" s="62">
        <f t="shared" si="105"/>
        <v>0</v>
      </c>
      <c r="R91" s="62">
        <f t="shared" si="105"/>
        <v>190456</v>
      </c>
    </row>
    <row r="92" spans="1:18" hidden="1" x14ac:dyDescent="0.35">
      <c r="A92" s="145" t="s">
        <v>212</v>
      </c>
      <c r="B92" s="62">
        <f t="shared" si="101"/>
        <v>0</v>
      </c>
      <c r="C92" s="62">
        <f t="shared" si="101"/>
        <v>0</v>
      </c>
      <c r="D92" s="62">
        <f t="shared" si="101"/>
        <v>280800</v>
      </c>
      <c r="E92" s="62">
        <f t="shared" si="101"/>
        <v>0</v>
      </c>
      <c r="F92" s="62">
        <f t="shared" si="101"/>
        <v>280800</v>
      </c>
      <c r="H92" s="62">
        <f t="shared" ref="H92:L92" si="106">H79</f>
        <v>0</v>
      </c>
      <c r="I92" s="62">
        <f t="shared" si="106"/>
        <v>0</v>
      </c>
      <c r="J92" s="62">
        <f t="shared" si="106"/>
        <v>0</v>
      </c>
      <c r="K92" s="62">
        <f t="shared" si="106"/>
        <v>0</v>
      </c>
      <c r="L92" s="62">
        <f t="shared" si="106"/>
        <v>0</v>
      </c>
      <c r="N92" s="62">
        <f t="shared" ref="N92:R92" si="107">N79</f>
        <v>0</v>
      </c>
      <c r="O92" s="62">
        <f t="shared" si="107"/>
        <v>0</v>
      </c>
      <c r="P92" s="62">
        <f t="shared" si="107"/>
        <v>280800</v>
      </c>
      <c r="Q92" s="62">
        <f t="shared" si="107"/>
        <v>0</v>
      </c>
      <c r="R92" s="62">
        <f t="shared" si="107"/>
        <v>280800</v>
      </c>
    </row>
    <row r="93" spans="1:18" hidden="1" x14ac:dyDescent="0.35">
      <c r="A93" s="63" t="s">
        <v>213</v>
      </c>
      <c r="B93" s="62">
        <f t="shared" si="101"/>
        <v>0</v>
      </c>
      <c r="C93" s="62">
        <f t="shared" si="101"/>
        <v>5007</v>
      </c>
      <c r="D93" s="62">
        <f t="shared" si="101"/>
        <v>0</v>
      </c>
      <c r="E93" s="62">
        <f t="shared" si="101"/>
        <v>0</v>
      </c>
      <c r="F93" s="62">
        <f t="shared" si="101"/>
        <v>5007</v>
      </c>
      <c r="H93" s="62">
        <f t="shared" ref="H93:L93" si="108">H80</f>
        <v>0</v>
      </c>
      <c r="I93" s="62">
        <f t="shared" si="108"/>
        <v>0</v>
      </c>
      <c r="J93" s="62">
        <f t="shared" si="108"/>
        <v>0</v>
      </c>
      <c r="K93" s="62">
        <f t="shared" si="108"/>
        <v>0</v>
      </c>
      <c r="L93" s="62">
        <f t="shared" si="108"/>
        <v>0</v>
      </c>
      <c r="N93" s="62">
        <f t="shared" ref="N93:R93" si="109">N80</f>
        <v>0</v>
      </c>
      <c r="O93" s="62">
        <f t="shared" si="109"/>
        <v>5007</v>
      </c>
      <c r="P93" s="62">
        <f t="shared" si="109"/>
        <v>0</v>
      </c>
      <c r="Q93" s="62">
        <f t="shared" si="109"/>
        <v>0</v>
      </c>
      <c r="R93" s="62">
        <f t="shared" si="109"/>
        <v>5007</v>
      </c>
    </row>
    <row r="94" spans="1:18" hidden="1" x14ac:dyDescent="0.35">
      <c r="A94" s="63" t="s">
        <v>214</v>
      </c>
      <c r="B94" s="62">
        <f t="shared" si="101"/>
        <v>0</v>
      </c>
      <c r="C94" s="62">
        <f t="shared" si="101"/>
        <v>45686</v>
      </c>
      <c r="D94" s="62">
        <f t="shared" si="101"/>
        <v>0</v>
      </c>
      <c r="E94" s="62">
        <f t="shared" si="101"/>
        <v>0</v>
      </c>
      <c r="F94" s="62">
        <f t="shared" si="101"/>
        <v>45686</v>
      </c>
      <c r="H94" s="62">
        <f t="shared" ref="H94:L94" si="110">H81</f>
        <v>0</v>
      </c>
      <c r="I94" s="62">
        <f t="shared" si="110"/>
        <v>0</v>
      </c>
      <c r="J94" s="62">
        <f t="shared" si="110"/>
        <v>0</v>
      </c>
      <c r="K94" s="62">
        <f t="shared" si="110"/>
        <v>0</v>
      </c>
      <c r="L94" s="62">
        <f t="shared" si="110"/>
        <v>0</v>
      </c>
      <c r="N94" s="62">
        <f t="shared" ref="N94:R94" si="111">N81</f>
        <v>0</v>
      </c>
      <c r="O94" s="62">
        <f t="shared" si="111"/>
        <v>45686</v>
      </c>
      <c r="P94" s="62">
        <f t="shared" si="111"/>
        <v>0</v>
      </c>
      <c r="Q94" s="62">
        <f t="shared" si="111"/>
        <v>0</v>
      </c>
      <c r="R94" s="62">
        <f t="shared" si="111"/>
        <v>45686</v>
      </c>
    </row>
    <row r="95" spans="1:18" hidden="1" x14ac:dyDescent="0.35">
      <c r="A95" s="63" t="s">
        <v>215</v>
      </c>
      <c r="B95" s="62">
        <f t="shared" si="101"/>
        <v>0</v>
      </c>
      <c r="C95" s="62">
        <f t="shared" si="101"/>
        <v>13585</v>
      </c>
      <c r="D95" s="62">
        <f t="shared" si="101"/>
        <v>0</v>
      </c>
      <c r="E95" s="62">
        <f t="shared" si="101"/>
        <v>0</v>
      </c>
      <c r="F95" s="62">
        <f t="shared" si="101"/>
        <v>13585</v>
      </c>
      <c r="H95" s="62">
        <f t="shared" ref="H95:L95" si="112">H82</f>
        <v>0</v>
      </c>
      <c r="I95" s="62">
        <f t="shared" si="112"/>
        <v>0</v>
      </c>
      <c r="J95" s="62">
        <f t="shared" si="112"/>
        <v>0</v>
      </c>
      <c r="K95" s="62">
        <f t="shared" si="112"/>
        <v>0</v>
      </c>
      <c r="L95" s="62">
        <f t="shared" si="112"/>
        <v>0</v>
      </c>
      <c r="N95" s="62">
        <f t="shared" ref="N95:R95" si="113">N82</f>
        <v>0</v>
      </c>
      <c r="O95" s="62">
        <f t="shared" si="113"/>
        <v>13585</v>
      </c>
      <c r="P95" s="62">
        <f t="shared" si="113"/>
        <v>0</v>
      </c>
      <c r="Q95" s="62">
        <f t="shared" si="113"/>
        <v>0</v>
      </c>
      <c r="R95" s="62">
        <f t="shared" si="113"/>
        <v>13585</v>
      </c>
    </row>
    <row r="96" spans="1:18" hidden="1" x14ac:dyDescent="0.35">
      <c r="A96" s="63" t="s">
        <v>227</v>
      </c>
      <c r="B96" s="62">
        <f t="shared" si="101"/>
        <v>0</v>
      </c>
      <c r="C96" s="62">
        <f t="shared" si="101"/>
        <v>0</v>
      </c>
      <c r="D96" s="62">
        <f t="shared" si="101"/>
        <v>0</v>
      </c>
      <c r="E96" s="62">
        <f t="shared" si="101"/>
        <v>0</v>
      </c>
      <c r="F96" s="62">
        <f t="shared" si="101"/>
        <v>0</v>
      </c>
      <c r="H96" s="62">
        <f t="shared" ref="H96:L96" si="114">H83</f>
        <v>0</v>
      </c>
      <c r="I96" s="62">
        <f t="shared" si="114"/>
        <v>0</v>
      </c>
      <c r="J96" s="62">
        <f t="shared" si="114"/>
        <v>0</v>
      </c>
      <c r="K96" s="62">
        <f t="shared" si="114"/>
        <v>0</v>
      </c>
      <c r="L96" s="62">
        <f t="shared" si="114"/>
        <v>0</v>
      </c>
      <c r="N96" s="62">
        <f t="shared" ref="N96:R96" si="115">N83</f>
        <v>0</v>
      </c>
      <c r="O96" s="62">
        <f t="shared" si="115"/>
        <v>0</v>
      </c>
      <c r="P96" s="62">
        <f t="shared" si="115"/>
        <v>0</v>
      </c>
      <c r="Q96" s="62">
        <f t="shared" si="115"/>
        <v>0</v>
      </c>
      <c r="R96" s="62">
        <f t="shared" si="115"/>
        <v>0</v>
      </c>
    </row>
    <row r="97" spans="1:18" hidden="1" x14ac:dyDescent="0.35">
      <c r="A97" s="63" t="s">
        <v>220</v>
      </c>
      <c r="B97" s="62">
        <f t="shared" si="101"/>
        <v>0</v>
      </c>
      <c r="C97" s="62">
        <f t="shared" si="101"/>
        <v>0</v>
      </c>
      <c r="D97" s="62">
        <f t="shared" si="101"/>
        <v>0</v>
      </c>
      <c r="E97" s="62">
        <f t="shared" si="101"/>
        <v>0</v>
      </c>
      <c r="F97" s="62">
        <f t="shared" si="101"/>
        <v>0</v>
      </c>
      <c r="H97" s="62">
        <f t="shared" ref="H97:L97" si="116">H84</f>
        <v>0</v>
      </c>
      <c r="I97" s="62">
        <f t="shared" si="116"/>
        <v>0</v>
      </c>
      <c r="J97" s="62">
        <f t="shared" si="116"/>
        <v>0</v>
      </c>
      <c r="K97" s="62">
        <f t="shared" si="116"/>
        <v>0</v>
      </c>
      <c r="L97" s="62">
        <f t="shared" si="116"/>
        <v>0</v>
      </c>
      <c r="N97" s="62">
        <f t="shared" ref="N97:R97" si="117">N84</f>
        <v>0</v>
      </c>
      <c r="O97" s="62">
        <f t="shared" si="117"/>
        <v>0</v>
      </c>
      <c r="P97" s="62">
        <f t="shared" si="117"/>
        <v>0</v>
      </c>
      <c r="Q97" s="62">
        <f t="shared" si="117"/>
        <v>0</v>
      </c>
      <c r="R97" s="62">
        <f t="shared" si="117"/>
        <v>0</v>
      </c>
    </row>
    <row r="98" spans="1:18" hidden="1" x14ac:dyDescent="0.35">
      <c r="A98" s="63" t="s">
        <v>216</v>
      </c>
      <c r="B98" s="62">
        <f t="shared" si="101"/>
        <v>0</v>
      </c>
      <c r="C98" s="62">
        <f t="shared" si="101"/>
        <v>0</v>
      </c>
      <c r="D98" s="62">
        <f t="shared" si="101"/>
        <v>0</v>
      </c>
      <c r="E98" s="62">
        <f t="shared" si="101"/>
        <v>0</v>
      </c>
      <c r="F98" s="62">
        <f t="shared" si="101"/>
        <v>0</v>
      </c>
      <c r="H98" s="62">
        <f t="shared" ref="H98:L98" si="118">H85</f>
        <v>0</v>
      </c>
      <c r="I98" s="62">
        <f t="shared" si="118"/>
        <v>0</v>
      </c>
      <c r="J98" s="62">
        <f t="shared" si="118"/>
        <v>0</v>
      </c>
      <c r="K98" s="62">
        <f t="shared" si="118"/>
        <v>0</v>
      </c>
      <c r="L98" s="62">
        <f t="shared" si="118"/>
        <v>0</v>
      </c>
      <c r="N98" s="62">
        <f t="shared" ref="N98:R98" si="119">N85</f>
        <v>0</v>
      </c>
      <c r="O98" s="62">
        <f t="shared" si="119"/>
        <v>0</v>
      </c>
      <c r="P98" s="62">
        <f t="shared" si="119"/>
        <v>0</v>
      </c>
      <c r="Q98" s="62">
        <f t="shared" si="119"/>
        <v>0</v>
      </c>
      <c r="R98" s="62">
        <f t="shared" si="119"/>
        <v>0</v>
      </c>
    </row>
    <row r="99" spans="1:18" ht="15" hidden="1" thickBot="1" x14ac:dyDescent="0.4">
      <c r="A99" s="66" t="s">
        <v>56</v>
      </c>
      <c r="B99" s="62">
        <f t="shared" si="101"/>
        <v>0</v>
      </c>
      <c r="C99" s="62">
        <f t="shared" si="101"/>
        <v>0</v>
      </c>
      <c r="D99" s="62">
        <f t="shared" si="101"/>
        <v>0</v>
      </c>
      <c r="E99" s="62">
        <f t="shared" si="101"/>
        <v>0</v>
      </c>
      <c r="F99" s="62">
        <f t="shared" si="101"/>
        <v>0</v>
      </c>
      <c r="H99" s="62">
        <f t="shared" ref="H99:L99" si="120">H86</f>
        <v>0</v>
      </c>
      <c r="I99" s="62">
        <f t="shared" si="120"/>
        <v>0</v>
      </c>
      <c r="J99" s="62">
        <f t="shared" si="120"/>
        <v>0</v>
      </c>
      <c r="K99" s="62">
        <f t="shared" si="120"/>
        <v>0</v>
      </c>
      <c r="L99" s="62">
        <f t="shared" si="120"/>
        <v>0</v>
      </c>
      <c r="N99" s="62">
        <f t="shared" ref="N99:R99" si="121">N86</f>
        <v>0</v>
      </c>
      <c r="O99" s="62">
        <f t="shared" si="121"/>
        <v>0</v>
      </c>
      <c r="P99" s="62">
        <f t="shared" si="121"/>
        <v>0</v>
      </c>
      <c r="Q99" s="62">
        <f t="shared" si="121"/>
        <v>0</v>
      </c>
      <c r="R99" s="62">
        <f t="shared" si="121"/>
        <v>0</v>
      </c>
    </row>
    <row r="100" spans="1:18" ht="15" hidden="1" thickBot="1" x14ac:dyDescent="0.4">
      <c r="A100" s="68" t="s">
        <v>58</v>
      </c>
      <c r="B100" s="69">
        <f>SUM(B88:B99)</f>
        <v>7186140</v>
      </c>
      <c r="C100" s="69">
        <f t="shared" ref="C100:E100" si="122">SUM(C88:C99)</f>
        <v>64278</v>
      </c>
      <c r="D100" s="69">
        <f t="shared" si="122"/>
        <v>457524</v>
      </c>
      <c r="E100" s="69">
        <f t="shared" si="122"/>
        <v>62748.000000000007</v>
      </c>
      <c r="F100" s="69">
        <f>SUM(F88:F89)</f>
        <v>7260264</v>
      </c>
      <c r="H100" s="69">
        <f>SUM(H88:H99)</f>
        <v>3924960</v>
      </c>
      <c r="I100" s="69">
        <f t="shared" ref="I100:K100" si="123">SUM(I88:I99)</f>
        <v>0</v>
      </c>
      <c r="J100" s="69">
        <f t="shared" si="123"/>
        <v>87856</v>
      </c>
      <c r="K100" s="69">
        <f t="shared" si="123"/>
        <v>188496.00000000006</v>
      </c>
      <c r="L100" s="69">
        <f>SUM(L88:L89)</f>
        <v>3924960</v>
      </c>
      <c r="N100" s="69">
        <f>SUM(N88:N99)</f>
        <v>11111100</v>
      </c>
      <c r="O100" s="69">
        <f t="shared" ref="O100:Q100" si="124">SUM(O88:O99)</f>
        <v>64278</v>
      </c>
      <c r="P100" s="69">
        <f t="shared" si="124"/>
        <v>545380</v>
      </c>
      <c r="Q100" s="69">
        <f t="shared" si="124"/>
        <v>251244.00000000006</v>
      </c>
      <c r="R100" s="69">
        <f>SUM(R88:R89)</f>
        <v>11185224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125">C1</f>
        <v>Weights</v>
      </c>
      <c r="D102" s="74" t="str">
        <f>D1</f>
        <v>SPED</v>
      </c>
      <c r="E102" s="74" t="str">
        <f t="shared" ref="E102:F102" si="126">E1</f>
        <v>NSLP</v>
      </c>
      <c r="F102" s="74" t="str">
        <f t="shared" si="126"/>
        <v>Mt. Rose</v>
      </c>
      <c r="H102" s="74" t="str">
        <f>H1</f>
        <v>Operating</v>
      </c>
      <c r="I102" s="74" t="str">
        <f t="shared" ref="I102" si="127">I1</f>
        <v>Weights</v>
      </c>
      <c r="J102" s="74" t="str">
        <f>J1</f>
        <v>SPED</v>
      </c>
      <c r="K102" s="74" t="str">
        <f t="shared" ref="K102:L102" si="128">K1</f>
        <v>NSLP</v>
      </c>
      <c r="L102" s="74" t="str">
        <f t="shared" si="128"/>
        <v>New Campus</v>
      </c>
      <c r="N102" s="74" t="str">
        <f>N1</f>
        <v>Operating</v>
      </c>
      <c r="O102" s="74" t="str">
        <f t="shared" ref="O102" si="129">O1</f>
        <v>Weights</v>
      </c>
      <c r="P102" s="74" t="str">
        <f>P1</f>
        <v>SPED</v>
      </c>
      <c r="Q102" s="74" t="str">
        <f t="shared" ref="Q102:R102" si="130">Q1</f>
        <v>NSLP</v>
      </c>
      <c r="R102" s="74" t="str">
        <f t="shared" si="13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'FY23'!C104*1.013</f>
        <v>115725.12</v>
      </c>
      <c r="C104" s="7">
        <f>'FY23'!D104*1.013</f>
        <v>0</v>
      </c>
      <c r="D104" s="7"/>
      <c r="E104" s="7"/>
      <c r="F104" s="7">
        <f t="shared" ref="F104:F116" si="131">SUM(B104:E104)</f>
        <v>115725.12</v>
      </c>
      <c r="H104" s="7">
        <v>100000</v>
      </c>
      <c r="I104" s="7"/>
      <c r="J104" s="7"/>
      <c r="K104" s="7"/>
      <c r="L104" s="7">
        <f t="shared" ref="L104:L116" si="132">SUM(H104:K104)</f>
        <v>100000</v>
      </c>
      <c r="N104" s="7">
        <f>B104+H104</f>
        <v>215725.12</v>
      </c>
      <c r="O104" s="7">
        <f t="shared" ref="O104:Q104" si="133">C104+I104</f>
        <v>0</v>
      </c>
      <c r="P104" s="7">
        <f t="shared" si="133"/>
        <v>0</v>
      </c>
      <c r="Q104" s="7">
        <f t="shared" si="133"/>
        <v>0</v>
      </c>
      <c r="R104" s="7">
        <f>SUM(N104:Q104)</f>
        <v>215725.12</v>
      </c>
    </row>
    <row r="105" spans="1:18" x14ac:dyDescent="0.35">
      <c r="A105" s="63" t="s">
        <v>61</v>
      </c>
      <c r="B105" s="7">
        <f>'FY23'!C105*1.013+70000</f>
        <v>155760.57999999999</v>
      </c>
      <c r="C105" s="7">
        <f>'FY23'!D105*1.013</f>
        <v>0</v>
      </c>
      <c r="D105" s="7"/>
      <c r="E105" s="7"/>
      <c r="F105" s="7">
        <f t="shared" si="131"/>
        <v>155760.57999999999</v>
      </c>
      <c r="H105" s="7">
        <v>0</v>
      </c>
      <c r="I105" s="7"/>
      <c r="J105" s="7"/>
      <c r="K105" s="7"/>
      <c r="L105" s="7">
        <f t="shared" si="132"/>
        <v>0</v>
      </c>
      <c r="N105" s="7">
        <f t="shared" ref="N105:N116" si="134">B105+H105</f>
        <v>155760.57999999999</v>
      </c>
      <c r="O105" s="7">
        <f t="shared" ref="O105:O116" si="135">C105+I105</f>
        <v>0</v>
      </c>
      <c r="P105" s="7">
        <f t="shared" ref="P105:P116" si="136">D105+J105</f>
        <v>0</v>
      </c>
      <c r="Q105" s="7">
        <f t="shared" ref="Q105:Q116" si="137">E105+K105</f>
        <v>0</v>
      </c>
      <c r="R105" s="7">
        <f t="shared" ref="R105:R116" si="138">SUM(N105:Q105)</f>
        <v>155760.57999999999</v>
      </c>
    </row>
    <row r="106" spans="1:18" x14ac:dyDescent="0.35">
      <c r="A106" s="63" t="s">
        <v>33</v>
      </c>
      <c r="B106" s="7">
        <f>'FY23'!C106*1.013</f>
        <v>60962.34</v>
      </c>
      <c r="C106" s="7">
        <f>'FY23'!D106*1.013</f>
        <v>0</v>
      </c>
      <c r="D106" s="7"/>
      <c r="E106" s="7"/>
      <c r="F106" s="7">
        <f t="shared" si="131"/>
        <v>60962.34</v>
      </c>
      <c r="H106" s="7">
        <v>0</v>
      </c>
      <c r="I106" s="7"/>
      <c r="J106" s="7"/>
      <c r="K106" s="7"/>
      <c r="L106" s="7">
        <f t="shared" si="132"/>
        <v>0</v>
      </c>
      <c r="N106" s="7">
        <f t="shared" si="134"/>
        <v>60962.34</v>
      </c>
      <c r="O106" s="7">
        <f t="shared" si="135"/>
        <v>0</v>
      </c>
      <c r="P106" s="7">
        <f t="shared" si="136"/>
        <v>0</v>
      </c>
      <c r="Q106" s="7">
        <f t="shared" si="137"/>
        <v>0</v>
      </c>
      <c r="R106" s="7">
        <f t="shared" si="138"/>
        <v>60962.34</v>
      </c>
    </row>
    <row r="107" spans="1:18" x14ac:dyDescent="0.35">
      <c r="A107" s="63" t="s">
        <v>408</v>
      </c>
      <c r="B107" s="7">
        <f>'FY23'!C107*1.013</f>
        <v>66128.639999999999</v>
      </c>
      <c r="C107" s="7">
        <f>'FY23'!D107*1.013</f>
        <v>0</v>
      </c>
      <c r="D107" s="7"/>
      <c r="E107" s="7"/>
      <c r="F107" s="7">
        <f t="shared" si="131"/>
        <v>66128.639999999999</v>
      </c>
      <c r="H107" s="7">
        <v>0</v>
      </c>
      <c r="I107" s="7">
        <v>55000</v>
      </c>
      <c r="J107" s="7"/>
      <c r="K107" s="7"/>
      <c r="L107" s="7">
        <f t="shared" si="132"/>
        <v>55000</v>
      </c>
      <c r="N107" s="7">
        <f t="shared" si="134"/>
        <v>66128.639999999999</v>
      </c>
      <c r="O107" s="7">
        <f t="shared" si="135"/>
        <v>55000</v>
      </c>
      <c r="P107" s="7">
        <f t="shared" si="136"/>
        <v>0</v>
      </c>
      <c r="Q107" s="7">
        <f t="shared" si="137"/>
        <v>0</v>
      </c>
      <c r="R107" s="7">
        <f t="shared" si="138"/>
        <v>121128.64</v>
      </c>
    </row>
    <row r="108" spans="1:18" x14ac:dyDescent="0.35">
      <c r="A108" s="63" t="s">
        <v>63</v>
      </c>
      <c r="B108" s="7">
        <f>'FY23'!C108*1.013</f>
        <v>0</v>
      </c>
      <c r="C108" s="7">
        <f>'FY23'!D108*1.013</f>
        <v>69228.42</v>
      </c>
      <c r="D108" s="7"/>
      <c r="E108" s="7"/>
      <c r="F108" s="7">
        <f t="shared" si="131"/>
        <v>69228.42</v>
      </c>
      <c r="H108" s="7">
        <v>0</v>
      </c>
      <c r="I108" s="7"/>
      <c r="J108" s="7"/>
      <c r="K108" s="7"/>
      <c r="L108" s="7">
        <f t="shared" si="132"/>
        <v>0</v>
      </c>
      <c r="N108" s="7">
        <f t="shared" si="134"/>
        <v>0</v>
      </c>
      <c r="O108" s="7">
        <f t="shared" si="135"/>
        <v>69228.42</v>
      </c>
      <c r="P108" s="7">
        <f t="shared" si="136"/>
        <v>0</v>
      </c>
      <c r="Q108" s="7">
        <f t="shared" si="137"/>
        <v>0</v>
      </c>
      <c r="R108" s="7">
        <f t="shared" si="138"/>
        <v>69228.42</v>
      </c>
    </row>
    <row r="109" spans="1:18" x14ac:dyDescent="0.35">
      <c r="A109" s="63" t="s">
        <v>64</v>
      </c>
      <c r="B109" s="7">
        <f>46500*B39</f>
        <v>1953000</v>
      </c>
      <c r="C109" s="7"/>
      <c r="D109" s="7"/>
      <c r="E109" s="7"/>
      <c r="F109" s="7">
        <f t="shared" si="131"/>
        <v>1953000</v>
      </c>
      <c r="G109" s="187">
        <v>46500</v>
      </c>
      <c r="H109" s="7">
        <f>44100*H39</f>
        <v>1080450</v>
      </c>
      <c r="I109" s="7"/>
      <c r="J109" s="7"/>
      <c r="K109" s="7"/>
      <c r="L109" s="7">
        <f t="shared" si="132"/>
        <v>1080450</v>
      </c>
      <c r="M109" s="187">
        <v>44100</v>
      </c>
      <c r="N109" s="7">
        <f t="shared" si="134"/>
        <v>3033450</v>
      </c>
      <c r="O109" s="7">
        <f t="shared" si="135"/>
        <v>0</v>
      </c>
      <c r="P109" s="7">
        <f t="shared" si="136"/>
        <v>0</v>
      </c>
      <c r="Q109" s="7">
        <f t="shared" si="137"/>
        <v>0</v>
      </c>
      <c r="R109" s="7">
        <f t="shared" si="138"/>
        <v>3033450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31"/>
        <v>0</v>
      </c>
      <c r="H110" s="14">
        <v>0</v>
      </c>
      <c r="I110" s="14"/>
      <c r="J110" s="14"/>
      <c r="K110" s="14"/>
      <c r="L110" s="7">
        <f t="shared" si="132"/>
        <v>0</v>
      </c>
      <c r="N110" s="7">
        <f t="shared" si="134"/>
        <v>0</v>
      </c>
      <c r="O110" s="7">
        <f t="shared" si="135"/>
        <v>0</v>
      </c>
      <c r="P110" s="7">
        <f t="shared" si="136"/>
        <v>0</v>
      </c>
      <c r="Q110" s="7">
        <f t="shared" si="137"/>
        <v>0</v>
      </c>
      <c r="R110" s="7">
        <f t="shared" si="138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46500*D30</f>
        <v>162750</v>
      </c>
      <c r="E111" s="7"/>
      <c r="F111" s="7">
        <f t="shared" si="131"/>
        <v>162750</v>
      </c>
      <c r="H111" s="7">
        <f>43000*H30</f>
        <v>0</v>
      </c>
      <c r="I111" s="7"/>
      <c r="J111" s="7">
        <f>44100*J30</f>
        <v>176400</v>
      </c>
      <c r="K111" s="7"/>
      <c r="L111" s="7">
        <f t="shared" si="132"/>
        <v>176400</v>
      </c>
      <c r="N111" s="7">
        <f t="shared" si="134"/>
        <v>0</v>
      </c>
      <c r="O111" s="7">
        <f t="shared" si="135"/>
        <v>0</v>
      </c>
      <c r="P111" s="7">
        <f t="shared" si="136"/>
        <v>339150</v>
      </c>
      <c r="Q111" s="7">
        <f t="shared" si="137"/>
        <v>0</v>
      </c>
      <c r="R111" s="7">
        <f t="shared" si="138"/>
        <v>339150</v>
      </c>
    </row>
    <row r="112" spans="1:18" x14ac:dyDescent="0.35">
      <c r="A112" s="63" t="s">
        <v>67</v>
      </c>
      <c r="B112" s="7">
        <f>'FY23'!C112*1.013</f>
        <v>108401.518992</v>
      </c>
      <c r="C112" s="7"/>
      <c r="D112" s="7"/>
      <c r="E112" s="7"/>
      <c r="F112" s="7">
        <f t="shared" si="131"/>
        <v>108401.518992</v>
      </c>
      <c r="H112" s="7">
        <f>((47840+37440)*1.015*1.013)</f>
        <v>87684.469599999982</v>
      </c>
      <c r="I112" s="7"/>
      <c r="J112" s="7"/>
      <c r="K112" s="7"/>
      <c r="L112" s="7">
        <f t="shared" si="132"/>
        <v>87684.469599999982</v>
      </c>
      <c r="N112" s="7">
        <f t="shared" si="134"/>
        <v>196085.98859199998</v>
      </c>
      <c r="O112" s="7">
        <f t="shared" si="135"/>
        <v>0</v>
      </c>
      <c r="P112" s="7">
        <f t="shared" si="136"/>
        <v>0</v>
      </c>
      <c r="Q112" s="7">
        <f t="shared" si="137"/>
        <v>0</v>
      </c>
      <c r="R112" s="7">
        <f t="shared" si="138"/>
        <v>196085.98859199998</v>
      </c>
    </row>
    <row r="113" spans="1:18" x14ac:dyDescent="0.35">
      <c r="A113" s="63" t="s">
        <v>68</v>
      </c>
      <c r="B113" s="7">
        <f>(14.25*8*190)*(B50+B51)</f>
        <v>43320</v>
      </c>
      <c r="C113" s="7"/>
      <c r="D113" s="7"/>
      <c r="E113" s="7"/>
      <c r="F113" s="7">
        <f t="shared" si="131"/>
        <v>43320</v>
      </c>
      <c r="H113" s="7">
        <f>(14*8*190)*(H50+H51)</f>
        <v>42560</v>
      </c>
      <c r="I113" s="7"/>
      <c r="J113" s="7"/>
      <c r="K113" s="7"/>
      <c r="L113" s="7">
        <f t="shared" si="132"/>
        <v>42560</v>
      </c>
      <c r="N113" s="7">
        <f t="shared" si="134"/>
        <v>85880</v>
      </c>
      <c r="O113" s="7">
        <f t="shared" si="135"/>
        <v>0</v>
      </c>
      <c r="P113" s="7">
        <f t="shared" si="136"/>
        <v>0</v>
      </c>
      <c r="Q113" s="7">
        <f t="shared" si="137"/>
        <v>0</v>
      </c>
      <c r="R113" s="7">
        <f t="shared" si="138"/>
        <v>85880</v>
      </c>
    </row>
    <row r="114" spans="1:18" x14ac:dyDescent="0.35">
      <c r="A114" s="63" t="s">
        <v>69</v>
      </c>
      <c r="B114" s="7">
        <f>(12.75*8*180)*B52</f>
        <v>0</v>
      </c>
      <c r="C114" s="7">
        <f>(13.25*8*180)*C52</f>
        <v>76320</v>
      </c>
      <c r="D114" s="7">
        <f>(13.25*8*180)*D52</f>
        <v>57240</v>
      </c>
      <c r="E114" s="7"/>
      <c r="F114" s="7">
        <f t="shared" si="131"/>
        <v>133560</v>
      </c>
      <c r="H114" s="7">
        <f>(12.75*8*180)*H52</f>
        <v>0</v>
      </c>
      <c r="I114" s="7">
        <f>(13*8*180)*I52</f>
        <v>0</v>
      </c>
      <c r="J114" s="7">
        <f>(13*8*180)*J52</f>
        <v>37440</v>
      </c>
      <c r="K114" s="7"/>
      <c r="L114" s="7">
        <f t="shared" si="132"/>
        <v>37440</v>
      </c>
      <c r="N114" s="7">
        <f t="shared" si="134"/>
        <v>0</v>
      </c>
      <c r="O114" s="7">
        <f t="shared" si="135"/>
        <v>76320</v>
      </c>
      <c r="P114" s="7">
        <f t="shared" si="136"/>
        <v>94680</v>
      </c>
      <c r="Q114" s="7">
        <f t="shared" si="137"/>
        <v>0</v>
      </c>
      <c r="R114" s="7">
        <f t="shared" si="138"/>
        <v>171000</v>
      </c>
    </row>
    <row r="115" spans="1:18" x14ac:dyDescent="0.35">
      <c r="A115" s="63" t="s">
        <v>70</v>
      </c>
      <c r="B115" s="15">
        <f>(25.5*8*240)</f>
        <v>48960</v>
      </c>
      <c r="C115" s="7"/>
      <c r="D115" s="7"/>
      <c r="E115" s="7"/>
      <c r="F115" s="7">
        <f t="shared" si="131"/>
        <v>48960</v>
      </c>
      <c r="H115" s="15">
        <f>(25.25*8*240)</f>
        <v>48480</v>
      </c>
      <c r="I115" s="7"/>
      <c r="J115" s="7"/>
      <c r="K115" s="7"/>
      <c r="L115" s="7">
        <f t="shared" si="132"/>
        <v>48480</v>
      </c>
      <c r="N115" s="7">
        <f t="shared" si="134"/>
        <v>97440</v>
      </c>
      <c r="O115" s="7">
        <f t="shared" si="135"/>
        <v>0</v>
      </c>
      <c r="P115" s="7">
        <f t="shared" si="136"/>
        <v>0</v>
      </c>
      <c r="Q115" s="7">
        <f t="shared" si="137"/>
        <v>0</v>
      </c>
      <c r="R115" s="7">
        <f t="shared" si="138"/>
        <v>97440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3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32"/>
        <v>0</v>
      </c>
      <c r="N116" s="7">
        <f t="shared" si="134"/>
        <v>0</v>
      </c>
      <c r="O116" s="7">
        <f t="shared" si="135"/>
        <v>0</v>
      </c>
      <c r="P116" s="7">
        <f t="shared" si="136"/>
        <v>0</v>
      </c>
      <c r="Q116" s="7">
        <f t="shared" si="137"/>
        <v>0</v>
      </c>
      <c r="R116" s="7">
        <f t="shared" si="138"/>
        <v>0</v>
      </c>
    </row>
    <row r="117" spans="1:18" ht="15" thickBot="1" x14ac:dyDescent="0.4">
      <c r="A117" s="82" t="s">
        <v>71</v>
      </c>
      <c r="B117" s="83">
        <f>SUM(B104:B116)</f>
        <v>2552258.1989919995</v>
      </c>
      <c r="C117" s="83">
        <f t="shared" ref="C117:F117" si="139">SUM(C104:C116)</f>
        <v>145548.41999999998</v>
      </c>
      <c r="D117" s="83">
        <f t="shared" si="139"/>
        <v>219990</v>
      </c>
      <c r="E117" s="83">
        <f t="shared" si="139"/>
        <v>0</v>
      </c>
      <c r="F117" s="83">
        <f t="shared" si="139"/>
        <v>2917796.6189919999</v>
      </c>
      <c r="H117" s="83">
        <f>SUM(H104:H116)</f>
        <v>1359174.4696</v>
      </c>
      <c r="I117" s="83">
        <f t="shared" ref="I117:L117" si="140">SUM(I104:I116)</f>
        <v>55000</v>
      </c>
      <c r="J117" s="83">
        <f t="shared" si="140"/>
        <v>213840</v>
      </c>
      <c r="K117" s="83">
        <f t="shared" si="140"/>
        <v>0</v>
      </c>
      <c r="L117" s="83">
        <f t="shared" si="140"/>
        <v>1628014.4696</v>
      </c>
      <c r="N117" s="83">
        <f>SUM(N104:N116)</f>
        <v>3911432.6685919994</v>
      </c>
      <c r="O117" s="83">
        <f t="shared" ref="O117:R117" si="141">SUM(O104:O116)</f>
        <v>200548.41999999998</v>
      </c>
      <c r="P117" s="83">
        <f t="shared" si="141"/>
        <v>433830</v>
      </c>
      <c r="Q117" s="83">
        <f t="shared" si="141"/>
        <v>0</v>
      </c>
      <c r="R117" s="83">
        <f t="shared" si="141"/>
        <v>4545811.0885920003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42">C1</f>
        <v>Weights</v>
      </c>
      <c r="D118" s="154" t="str">
        <f>D1</f>
        <v>SPED</v>
      </c>
      <c r="E118" s="154" t="str">
        <f t="shared" ref="E118:F118" si="143">E1</f>
        <v>NSLP</v>
      </c>
      <c r="F118" s="154" t="str">
        <f t="shared" si="143"/>
        <v>Mt. Rose</v>
      </c>
      <c r="H118" s="154" t="str">
        <f>H1</f>
        <v>Operating</v>
      </c>
      <c r="I118" s="154" t="str">
        <f t="shared" ref="I118" si="144">I1</f>
        <v>Weights</v>
      </c>
      <c r="J118" s="154" t="str">
        <f>J1</f>
        <v>SPED</v>
      </c>
      <c r="K118" s="154" t="str">
        <f t="shared" ref="K118:L118" si="145">K1</f>
        <v>NSLP</v>
      </c>
      <c r="L118" s="154" t="str">
        <f t="shared" si="145"/>
        <v>New Campus</v>
      </c>
      <c r="N118" s="154" t="str">
        <f>N1</f>
        <v>Operating</v>
      </c>
      <c r="O118" s="154" t="str">
        <f t="shared" ref="O118" si="146">O1</f>
        <v>Weights</v>
      </c>
      <c r="P118" s="154" t="str">
        <f>P1</f>
        <v>SPED</v>
      </c>
      <c r="Q118" s="154" t="str">
        <f t="shared" ref="Q118:R118" si="147">Q1</f>
        <v>NSLP</v>
      </c>
      <c r="R118" s="154" t="str">
        <f t="shared" si="147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48">SUM(B119:E119)</f>
        <v>0</v>
      </c>
      <c r="H119" s="7"/>
      <c r="I119" s="7"/>
      <c r="J119" s="7"/>
      <c r="K119" s="7"/>
      <c r="L119" s="7">
        <f t="shared" ref="L119:L128" si="149">SUM(H119:K119)</f>
        <v>0</v>
      </c>
      <c r="N119" s="7">
        <f>B119+H119</f>
        <v>0</v>
      </c>
      <c r="O119" s="7">
        <f t="shared" ref="O119:Q119" si="150">C119+I119</f>
        <v>0</v>
      </c>
      <c r="P119" s="7">
        <f t="shared" si="150"/>
        <v>0</v>
      </c>
      <c r="Q119" s="7">
        <f t="shared" si="150"/>
        <v>0</v>
      </c>
      <c r="R119" s="7">
        <f t="shared" ref="R119:R128" si="151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48"/>
        <v>0</v>
      </c>
      <c r="H120" s="7"/>
      <c r="I120" s="7"/>
      <c r="J120" s="7"/>
      <c r="K120" s="7"/>
      <c r="L120" s="7">
        <f t="shared" si="149"/>
        <v>0</v>
      </c>
      <c r="N120" s="7">
        <f t="shared" ref="N120:N128" si="152">B120+H120</f>
        <v>0</v>
      </c>
      <c r="O120" s="7">
        <f t="shared" ref="O120:O128" si="153">C120+I120</f>
        <v>0</v>
      </c>
      <c r="P120" s="7">
        <f t="shared" ref="P120:P128" si="154">D120+J120</f>
        <v>0</v>
      </c>
      <c r="Q120" s="7">
        <f t="shared" ref="Q120:Q128" si="155">E120+K120</f>
        <v>0</v>
      </c>
      <c r="R120" s="7">
        <f t="shared" si="151"/>
        <v>0</v>
      </c>
    </row>
    <row r="121" spans="1:18" x14ac:dyDescent="0.35">
      <c r="A121" s="63" t="s">
        <v>40</v>
      </c>
      <c r="B121" s="7"/>
      <c r="C121" s="7"/>
      <c r="D121" s="7">
        <f>'FY23'!E121*1.013</f>
        <v>50113.109999999993</v>
      </c>
      <c r="E121" s="7"/>
      <c r="F121" s="7">
        <f t="shared" si="148"/>
        <v>50113.109999999993</v>
      </c>
      <c r="H121" s="7"/>
      <c r="I121" s="7"/>
      <c r="J121" s="7">
        <v>0</v>
      </c>
      <c r="K121" s="7"/>
      <c r="L121" s="7">
        <f t="shared" si="149"/>
        <v>0</v>
      </c>
      <c r="N121" s="7">
        <f t="shared" si="152"/>
        <v>0</v>
      </c>
      <c r="O121" s="7">
        <f t="shared" si="153"/>
        <v>0</v>
      </c>
      <c r="P121" s="7">
        <f t="shared" si="154"/>
        <v>50113.109999999993</v>
      </c>
      <c r="Q121" s="7">
        <f t="shared" si="155"/>
        <v>0</v>
      </c>
      <c r="R121" s="7">
        <f t="shared" si="151"/>
        <v>50113.109999999993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48"/>
        <v>0</v>
      </c>
      <c r="H122" s="7"/>
      <c r="I122" s="7"/>
      <c r="J122" s="7"/>
      <c r="K122" s="7"/>
      <c r="L122" s="7">
        <f t="shared" si="149"/>
        <v>0</v>
      </c>
      <c r="N122" s="7">
        <f t="shared" si="152"/>
        <v>0</v>
      </c>
      <c r="O122" s="7">
        <f t="shared" si="153"/>
        <v>0</v>
      </c>
      <c r="P122" s="7">
        <f t="shared" si="154"/>
        <v>0</v>
      </c>
      <c r="Q122" s="7">
        <f t="shared" si="155"/>
        <v>0</v>
      </c>
      <c r="R122" s="7">
        <f t="shared" si="151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48"/>
        <v>0</v>
      </c>
      <c r="H123" s="7"/>
      <c r="I123" s="7"/>
      <c r="J123" s="7"/>
      <c r="K123" s="7"/>
      <c r="L123" s="7">
        <f t="shared" si="149"/>
        <v>0</v>
      </c>
      <c r="N123" s="7">
        <f t="shared" si="152"/>
        <v>0</v>
      </c>
      <c r="O123" s="7">
        <f t="shared" si="153"/>
        <v>0</v>
      </c>
      <c r="P123" s="7">
        <f t="shared" si="154"/>
        <v>0</v>
      </c>
      <c r="Q123" s="7">
        <f t="shared" si="155"/>
        <v>0</v>
      </c>
      <c r="R123" s="7">
        <f t="shared" si="151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48"/>
        <v>0</v>
      </c>
      <c r="H124" s="7"/>
      <c r="I124" s="7"/>
      <c r="J124" s="7"/>
      <c r="K124" s="7"/>
      <c r="L124" s="7">
        <f t="shared" si="149"/>
        <v>0</v>
      </c>
      <c r="N124" s="7">
        <f t="shared" si="152"/>
        <v>0</v>
      </c>
      <c r="O124" s="7">
        <f t="shared" si="153"/>
        <v>0</v>
      </c>
      <c r="P124" s="7">
        <f t="shared" si="154"/>
        <v>0</v>
      </c>
      <c r="Q124" s="7">
        <f t="shared" si="155"/>
        <v>0</v>
      </c>
      <c r="R124" s="7">
        <f t="shared" si="151"/>
        <v>0</v>
      </c>
    </row>
    <row r="125" spans="1:18" x14ac:dyDescent="0.35">
      <c r="A125" s="63" t="s">
        <v>75</v>
      </c>
      <c r="B125" s="7">
        <v>0</v>
      </c>
      <c r="C125" s="7">
        <f>'FY23'!D125*1.013</f>
        <v>53729.52</v>
      </c>
      <c r="D125" s="7"/>
      <c r="E125" s="7"/>
      <c r="F125" s="7">
        <f t="shared" si="148"/>
        <v>53729.52</v>
      </c>
      <c r="H125" s="7">
        <v>0</v>
      </c>
      <c r="I125" s="7">
        <v>26000</v>
      </c>
      <c r="J125" s="7"/>
      <c r="K125" s="7"/>
      <c r="L125" s="7">
        <f t="shared" si="149"/>
        <v>26000</v>
      </c>
      <c r="N125" s="7">
        <f t="shared" si="152"/>
        <v>0</v>
      </c>
      <c r="O125" s="7">
        <f t="shared" si="153"/>
        <v>79729.51999999999</v>
      </c>
      <c r="P125" s="7">
        <f t="shared" si="154"/>
        <v>0</v>
      </c>
      <c r="Q125" s="7">
        <f t="shared" si="155"/>
        <v>0</v>
      </c>
      <c r="R125" s="7">
        <f t="shared" si="151"/>
        <v>79729.51999999999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48"/>
        <v>0</v>
      </c>
      <c r="H126" s="7">
        <v>0</v>
      </c>
      <c r="I126" s="7">
        <v>0</v>
      </c>
      <c r="J126" s="7"/>
      <c r="K126" s="7"/>
      <c r="L126" s="7">
        <f t="shared" si="149"/>
        <v>0</v>
      </c>
      <c r="N126" s="7">
        <f t="shared" si="152"/>
        <v>0</v>
      </c>
      <c r="O126" s="7">
        <f t="shared" si="153"/>
        <v>0</v>
      </c>
      <c r="P126" s="7">
        <f t="shared" si="154"/>
        <v>0</v>
      </c>
      <c r="Q126" s="7">
        <f t="shared" si="155"/>
        <v>0</v>
      </c>
      <c r="R126" s="7">
        <f t="shared" si="151"/>
        <v>0</v>
      </c>
    </row>
    <row r="127" spans="1:18" x14ac:dyDescent="0.35">
      <c r="A127" s="63" t="s">
        <v>77</v>
      </c>
      <c r="B127" s="150"/>
      <c r="C127" s="7">
        <f t="shared" ref="C127" si="156">(12.5*6*185)*C54</f>
        <v>0</v>
      </c>
      <c r="D127" s="150"/>
      <c r="E127" s="7">
        <f>(13.5*6*185)*E54</f>
        <v>14985</v>
      </c>
      <c r="F127" s="7">
        <f t="shared" si="148"/>
        <v>14985</v>
      </c>
      <c r="H127" s="150"/>
      <c r="I127" s="7">
        <f t="shared" ref="I127" si="157">(12.5*6*185)*I54</f>
        <v>0</v>
      </c>
      <c r="J127" s="150"/>
      <c r="K127" s="7">
        <f>(13.25*8*185)*K54</f>
        <v>19610</v>
      </c>
      <c r="L127" s="7">
        <f t="shared" si="149"/>
        <v>19610</v>
      </c>
      <c r="N127" s="7">
        <f t="shared" si="152"/>
        <v>0</v>
      </c>
      <c r="O127" s="7">
        <f t="shared" si="153"/>
        <v>0</v>
      </c>
      <c r="P127" s="7">
        <f t="shared" si="154"/>
        <v>0</v>
      </c>
      <c r="Q127" s="7">
        <f t="shared" si="155"/>
        <v>34595</v>
      </c>
      <c r="R127" s="7">
        <f t="shared" si="151"/>
        <v>34595</v>
      </c>
    </row>
    <row r="128" spans="1:18" x14ac:dyDescent="0.35">
      <c r="A128" s="63" t="s">
        <v>78</v>
      </c>
      <c r="B128" s="37">
        <f>125*180</f>
        <v>22500</v>
      </c>
      <c r="C128" s="37"/>
      <c r="D128" s="37"/>
      <c r="E128" s="37"/>
      <c r="F128" s="7">
        <f t="shared" si="148"/>
        <v>22500</v>
      </c>
      <c r="H128" s="37">
        <f>125*180</f>
        <v>22500</v>
      </c>
      <c r="I128" s="37"/>
      <c r="J128" s="37"/>
      <c r="K128" s="37"/>
      <c r="L128" s="7">
        <f t="shared" si="149"/>
        <v>22500</v>
      </c>
      <c r="N128" s="7">
        <f t="shared" si="152"/>
        <v>45000</v>
      </c>
      <c r="O128" s="7">
        <f t="shared" si="153"/>
        <v>0</v>
      </c>
      <c r="P128" s="7">
        <f t="shared" si="154"/>
        <v>0</v>
      </c>
      <c r="Q128" s="7">
        <f t="shared" si="155"/>
        <v>0</v>
      </c>
      <c r="R128" s="7">
        <f t="shared" si="151"/>
        <v>45000</v>
      </c>
    </row>
    <row r="129" spans="1:18" ht="15" thickBot="1" x14ac:dyDescent="0.4">
      <c r="A129" s="82" t="s">
        <v>79</v>
      </c>
      <c r="B129" s="87">
        <f>SUM(B119:B128)</f>
        <v>22500</v>
      </c>
      <c r="C129" s="87">
        <f t="shared" ref="C129" si="158">SUM(C119:C128)</f>
        <v>53729.52</v>
      </c>
      <c r="D129" s="87">
        <f>SUM(D119:D128)</f>
        <v>50113.109999999993</v>
      </c>
      <c r="E129" s="87">
        <f t="shared" ref="E129:F129" si="159">SUM(E119:E128)</f>
        <v>14985</v>
      </c>
      <c r="F129" s="87">
        <f t="shared" si="159"/>
        <v>141327.63</v>
      </c>
      <c r="H129" s="87">
        <f>SUM(H119:H128)</f>
        <v>22500</v>
      </c>
      <c r="I129" s="87">
        <f t="shared" ref="I129" si="160">SUM(I119:I128)</f>
        <v>26000</v>
      </c>
      <c r="J129" s="87">
        <f>SUM(J119:J128)</f>
        <v>0</v>
      </c>
      <c r="K129" s="87">
        <f t="shared" ref="K129:L129" si="161">SUM(K119:K128)</f>
        <v>19610</v>
      </c>
      <c r="L129" s="87">
        <f t="shared" si="161"/>
        <v>68110</v>
      </c>
      <c r="N129" s="87">
        <f>SUM(N119:N128)</f>
        <v>45000</v>
      </c>
      <c r="O129" s="87">
        <f t="shared" ref="O129" si="162">SUM(O119:O128)</f>
        <v>79729.51999999999</v>
      </c>
      <c r="P129" s="87">
        <f>SUM(P119:P128)</f>
        <v>50113.109999999993</v>
      </c>
      <c r="Q129" s="87">
        <f t="shared" ref="Q129:R129" si="163">SUM(Q119:Q128)</f>
        <v>34595</v>
      </c>
      <c r="R129" s="87">
        <f t="shared" si="163"/>
        <v>209437.62999999998</v>
      </c>
    </row>
    <row r="130" spans="1:18" ht="15" thickBot="1" x14ac:dyDescent="0.4">
      <c r="A130" s="89" t="s">
        <v>80</v>
      </c>
      <c r="B130" s="90">
        <f>B117+B129</f>
        <v>2574758.1989919995</v>
      </c>
      <c r="C130" s="90">
        <f t="shared" ref="C130" si="164">C117+C129</f>
        <v>199277.93999999997</v>
      </c>
      <c r="D130" s="90">
        <f>D117+D129</f>
        <v>270103.11</v>
      </c>
      <c r="E130" s="90">
        <f t="shared" ref="E130:F130" si="165">E117+E129</f>
        <v>14985</v>
      </c>
      <c r="F130" s="90">
        <f t="shared" si="165"/>
        <v>3059124.2489919998</v>
      </c>
      <c r="H130" s="90">
        <f>H117+H129</f>
        <v>1381674.4696</v>
      </c>
      <c r="I130" s="90">
        <f t="shared" ref="I130" si="166">I117+I129</f>
        <v>81000</v>
      </c>
      <c r="J130" s="90">
        <f>J117+J129</f>
        <v>213840</v>
      </c>
      <c r="K130" s="90">
        <f t="shared" ref="K130:L130" si="167">K117+K129</f>
        <v>19610</v>
      </c>
      <c r="L130" s="90">
        <f t="shared" si="167"/>
        <v>1696124.4696</v>
      </c>
      <c r="N130" s="90">
        <f>N117+N129</f>
        <v>3956432.6685919994</v>
      </c>
      <c r="O130" s="90">
        <f t="shared" ref="O130" si="168">O117+O129</f>
        <v>280277.93999999994</v>
      </c>
      <c r="P130" s="90">
        <f>P117+P129</f>
        <v>483943.11</v>
      </c>
      <c r="Q130" s="90">
        <f t="shared" ref="Q130:R130" si="169">Q117+Q129</f>
        <v>34595</v>
      </c>
      <c r="R130" s="90">
        <f t="shared" si="169"/>
        <v>4755248.7185920002</v>
      </c>
    </row>
    <row r="131" spans="1:18" x14ac:dyDescent="0.35">
      <c r="A131" s="63" t="s">
        <v>217</v>
      </c>
      <c r="B131" s="62">
        <f>B130*0.2975</f>
        <v>765990.56420011981</v>
      </c>
      <c r="C131" s="62">
        <f t="shared" ref="C131" si="170">C130*0.2975</f>
        <v>59285.187149999991</v>
      </c>
      <c r="D131" s="62">
        <f>D130*0.2975</f>
        <v>80355.675224999999</v>
      </c>
      <c r="E131" s="62">
        <f t="shared" ref="E131" si="171">E130*0.2975</f>
        <v>4458.0374999999995</v>
      </c>
      <c r="F131" s="62">
        <f>F130*0.2975</f>
        <v>910089.46407511993</v>
      </c>
      <c r="H131" s="62">
        <f>H130*0.2975</f>
        <v>411048.15470599994</v>
      </c>
      <c r="I131" s="62">
        <f t="shared" ref="I131" si="172">I130*0.2975</f>
        <v>24097.5</v>
      </c>
      <c r="J131" s="62">
        <f>J130*0.2975</f>
        <v>63617.399999999994</v>
      </c>
      <c r="K131" s="62">
        <f t="shared" ref="K131" si="173">K130*0.2975</f>
        <v>5833.9749999999995</v>
      </c>
      <c r="L131" s="62">
        <f>L130*0.2975</f>
        <v>504597.02970599994</v>
      </c>
      <c r="N131" s="7">
        <f>B131+H131</f>
        <v>1177038.7189061197</v>
      </c>
      <c r="O131" s="7">
        <f t="shared" ref="O131:Q132" si="174">C131+I131</f>
        <v>83382.687149999983</v>
      </c>
      <c r="P131" s="7">
        <f t="shared" si="174"/>
        <v>143973.07522499998</v>
      </c>
      <c r="Q131" s="7">
        <f t="shared" si="174"/>
        <v>10292.012499999999</v>
      </c>
      <c r="R131" s="152">
        <f t="shared" ref="R131:R132" si="175">SUM(N131:Q131)</f>
        <v>1414686.4937811196</v>
      </c>
    </row>
    <row r="132" spans="1:18" x14ac:dyDescent="0.35">
      <c r="A132" s="63" t="s">
        <v>81</v>
      </c>
      <c r="B132" s="7">
        <f>B130*0.185</f>
        <v>476330.26681351988</v>
      </c>
      <c r="C132" s="7">
        <f t="shared" ref="C132:E132" si="176">C130*0.185</f>
        <v>36866.418899999997</v>
      </c>
      <c r="D132" s="7">
        <f t="shared" si="176"/>
        <v>49969.075349999999</v>
      </c>
      <c r="E132" s="7">
        <f t="shared" si="176"/>
        <v>2772.2249999999999</v>
      </c>
      <c r="F132" s="7">
        <f>SUM(B132:E132)</f>
        <v>565937.98606351984</v>
      </c>
      <c r="H132" s="7">
        <f>H130*0.185</f>
        <v>255609.77687599999</v>
      </c>
      <c r="I132" s="7">
        <f t="shared" ref="I132:K132" si="177">I130*0.185</f>
        <v>14985</v>
      </c>
      <c r="J132" s="7">
        <f t="shared" si="177"/>
        <v>39560.400000000001</v>
      </c>
      <c r="K132" s="7">
        <f t="shared" si="177"/>
        <v>3627.85</v>
      </c>
      <c r="L132" s="7">
        <f>SUM(H132:K132)</f>
        <v>313783.02687599999</v>
      </c>
      <c r="N132" s="7">
        <f t="shared" ref="N132:N136" si="178">B132+H132</f>
        <v>731940.04368951987</v>
      </c>
      <c r="O132" s="7">
        <f t="shared" si="174"/>
        <v>51851.418899999997</v>
      </c>
      <c r="P132" s="7">
        <f t="shared" si="174"/>
        <v>89529.475349999993</v>
      </c>
      <c r="Q132" s="7">
        <f t="shared" si="174"/>
        <v>6400.0749999999998</v>
      </c>
      <c r="R132" s="152">
        <f t="shared" si="175"/>
        <v>879721.01293951983</v>
      </c>
    </row>
    <row r="133" spans="1:18" x14ac:dyDescent="0.35">
      <c r="A133" s="63" t="s">
        <v>82</v>
      </c>
      <c r="B133" s="152">
        <f>'FY23'!C133*1.02</f>
        <v>59275.26</v>
      </c>
      <c r="C133" s="152">
        <f>'FY23'!D133*1.02</f>
        <v>4233</v>
      </c>
      <c r="D133" s="152">
        <f>'FY23'!E133*1.02</f>
        <v>5890.5</v>
      </c>
      <c r="E133" s="152">
        <f>'FY23'!F133*1.02</f>
        <v>433.5</v>
      </c>
      <c r="F133" s="152">
        <f>SUM(B133:E133)</f>
        <v>69832.260000000009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(125*H67)+(((H42*2000)+(H43*1500)+(H44*1200)+(H46*1200)+(H47*1200)+(H48*1000)+(H49*1000)+(H50*300)+(H51*300)+(H52*300)+(H53*300)+(H54*300)+(H56*1000)+(H57*1000)+(H58*1000)+(H59*1000)+(H60*1000)+(H61*1000)+(H39*1000)+(1000*H55))*0.15)</f>
        <v>8222.5</v>
      </c>
      <c r="I133" s="152">
        <f>(125*I67)+(((I42*2000)+(I43*1500)+(I44*1200)+(I46*1200)+(I47*1200)+(I48*1000)+(I49*1000)+(I50*300)+(I51*300)+(I52*300)+(I53*300)+(I54*300)+(I56*1000)+(I57*1000)+(I58*1000)+(I59*1000)+(I60*1000)+(I61*1000)+(I39*1000)+(1000*I55))*0.15)</f>
        <v>325</v>
      </c>
      <c r="J133" s="152">
        <f>(125*J67)+(((J42*2000)+(J43*1500)+(J44*1200)+(J46*1200)+(J47*1200)+(J48*1000)+(J49*1000)+(J50*300)+(J51*300)+(J52*300)+(J53*300)+(J54*300)+(J56*1000)+(J57*1000)+(J58*1000)+(J59*1000)+(J60*1000)+(J61*1000)+(J39*1000)+(1000*J55))*0.15)</f>
        <v>1440</v>
      </c>
      <c r="K133" s="152">
        <f>(125*K67)+(((K42*2000)+(K43*1500)+(K44*1200)+(K46*1200)+(K47*1200)+(K48*1000)+(K49*1000)+(K50*300)+(K51*300)+(K52*300)+(K53*300)+(K54*300)+(K56*1000)+(K57*1000)+(K58*1000)+(K59*1000)+(K60*1000)+(K61*1000)+(K39*1000)+(1000*K55))*0.15)</f>
        <v>170</v>
      </c>
      <c r="L133" s="152">
        <f>SUM(H133:K133)</f>
        <v>10157.5</v>
      </c>
      <c r="N133" s="7">
        <f t="shared" si="178"/>
        <v>67497.760000000009</v>
      </c>
      <c r="O133" s="7">
        <f t="shared" ref="O133:O136" si="179">C133+I133</f>
        <v>4558</v>
      </c>
      <c r="P133" s="7">
        <f t="shared" ref="P133:P136" si="180">D133+J133</f>
        <v>7330.5</v>
      </c>
      <c r="Q133" s="7">
        <f t="shared" ref="Q133:Q136" si="181">E133+K133</f>
        <v>603.5</v>
      </c>
      <c r="R133" s="152">
        <f>SUM(N133:Q133)</f>
        <v>79989.760000000009</v>
      </c>
    </row>
    <row r="134" spans="1:18" x14ac:dyDescent="0.35">
      <c r="A134" s="63" t="s">
        <v>83</v>
      </c>
      <c r="B134" s="94"/>
      <c r="C134" s="94"/>
      <c r="D134" s="94"/>
      <c r="E134" s="94"/>
      <c r="F134" s="94"/>
      <c r="H134" s="94"/>
      <c r="I134" s="94"/>
      <c r="J134" s="94"/>
      <c r="K134" s="94"/>
      <c r="L134" s="94"/>
      <c r="N134" s="7">
        <f t="shared" si="178"/>
        <v>0</v>
      </c>
      <c r="O134" s="7">
        <f t="shared" si="179"/>
        <v>0</v>
      </c>
      <c r="P134" s="7">
        <f t="shared" si="180"/>
        <v>0</v>
      </c>
      <c r="Q134" s="7">
        <f t="shared" si="181"/>
        <v>0</v>
      </c>
      <c r="R134" s="152">
        <f t="shared" ref="R134:R136" si="182">SUM(N134:Q134)</f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7">
        <f t="shared" ref="F135" si="183">1800*3</f>
        <v>5400</v>
      </c>
      <c r="H135" s="7">
        <f>1800*3</f>
        <v>5400</v>
      </c>
      <c r="I135" s="7"/>
      <c r="J135" s="7"/>
      <c r="K135" s="7"/>
      <c r="L135" s="7">
        <f t="shared" ref="L135" si="184">1800*3</f>
        <v>5400</v>
      </c>
      <c r="N135" s="7">
        <f t="shared" si="178"/>
        <v>12600</v>
      </c>
      <c r="O135" s="7">
        <f t="shared" si="179"/>
        <v>0</v>
      </c>
      <c r="P135" s="7">
        <f t="shared" si="180"/>
        <v>0</v>
      </c>
      <c r="Q135" s="7">
        <f t="shared" si="181"/>
        <v>0</v>
      </c>
      <c r="R135" s="152">
        <f t="shared" si="182"/>
        <v>12600</v>
      </c>
    </row>
    <row r="136" spans="1:18" x14ac:dyDescent="0.35">
      <c r="A136" s="63" t="s">
        <v>218</v>
      </c>
      <c r="B136" s="37">
        <f>(175*10*B39)-B128</f>
        <v>51000</v>
      </c>
      <c r="C136" s="37">
        <f t="shared" ref="C136:E136" si="185">(175*10*C39)-C128</f>
        <v>0</v>
      </c>
      <c r="D136" s="37">
        <f t="shared" si="185"/>
        <v>6125</v>
      </c>
      <c r="E136" s="37">
        <f t="shared" si="185"/>
        <v>0</v>
      </c>
      <c r="F136" s="37">
        <f t="shared" ref="F136" si="186">(165*10*F39)-F128</f>
        <v>52575</v>
      </c>
      <c r="H136" s="37">
        <f>(175*10*H39)-H128</f>
        <v>20375</v>
      </c>
      <c r="I136" s="37">
        <f t="shared" ref="I136:K136" si="187">(175*10*I39)-I128</f>
        <v>0</v>
      </c>
      <c r="J136" s="37">
        <f t="shared" si="187"/>
        <v>7000</v>
      </c>
      <c r="K136" s="37">
        <f t="shared" si="187"/>
        <v>0</v>
      </c>
      <c r="L136" s="37">
        <f t="shared" ref="L136" si="188">(165*10*L39)-L128</f>
        <v>24525</v>
      </c>
      <c r="N136" s="7">
        <f t="shared" si="178"/>
        <v>71375</v>
      </c>
      <c r="O136" s="7">
        <f t="shared" si="179"/>
        <v>0</v>
      </c>
      <c r="P136" s="7">
        <f t="shared" si="180"/>
        <v>13125</v>
      </c>
      <c r="Q136" s="7">
        <f t="shared" si="181"/>
        <v>0</v>
      </c>
      <c r="R136" s="152">
        <f t="shared" si="182"/>
        <v>84500</v>
      </c>
    </row>
    <row r="137" spans="1:18" ht="15" thickBot="1" x14ac:dyDescent="0.4">
      <c r="A137" s="91" t="s">
        <v>85</v>
      </c>
      <c r="B137" s="87">
        <f>SUM(B131:B136)</f>
        <v>1359796.0910136397</v>
      </c>
      <c r="C137" s="87">
        <f t="shared" ref="C137" si="189">SUM(C131:C136)</f>
        <v>100384.60604999999</v>
      </c>
      <c r="D137" s="87">
        <f>SUM(D131:D136)</f>
        <v>142340.25057500001</v>
      </c>
      <c r="E137" s="87">
        <f t="shared" ref="E137:F137" si="190">SUM(E131:E136)</f>
        <v>7663.7624999999989</v>
      </c>
      <c r="F137" s="87">
        <f t="shared" si="190"/>
        <v>1603834.7101386397</v>
      </c>
      <c r="H137" s="87">
        <f>SUM(H131:H136)</f>
        <v>700655.43158199987</v>
      </c>
      <c r="I137" s="87">
        <f t="shared" ref="I137" si="191">SUM(I131:I136)</f>
        <v>39407.5</v>
      </c>
      <c r="J137" s="87">
        <f>SUM(J131:J136)</f>
        <v>111617.79999999999</v>
      </c>
      <c r="K137" s="87">
        <f t="shared" ref="K137:L137" si="192">SUM(K131:K136)</f>
        <v>9631.8249999999989</v>
      </c>
      <c r="L137" s="87">
        <f t="shared" si="192"/>
        <v>858462.55658199987</v>
      </c>
      <c r="N137" s="87">
        <f>SUM(N131:N136)</f>
        <v>2060451.5225956396</v>
      </c>
      <c r="O137" s="87">
        <f t="shared" ref="O137" si="193">SUM(O131:O136)</f>
        <v>139792.10604999997</v>
      </c>
      <c r="P137" s="87">
        <f>SUM(P131:P136)</f>
        <v>253958.05057499997</v>
      </c>
      <c r="Q137" s="87">
        <f t="shared" ref="Q137:R137" si="194">SUM(Q131:Q136)</f>
        <v>17295.587499999998</v>
      </c>
      <c r="R137" s="87">
        <f t="shared" si="194"/>
        <v>2471497.2667206395</v>
      </c>
    </row>
    <row r="138" spans="1:18" ht="15" thickBot="1" x14ac:dyDescent="0.4">
      <c r="A138" s="95" t="s">
        <v>86</v>
      </c>
      <c r="B138" s="90">
        <f>B130+B137</f>
        <v>3934554.2900056392</v>
      </c>
      <c r="C138" s="90">
        <f t="shared" ref="C138" si="195">C130+C137</f>
        <v>299662.54604999995</v>
      </c>
      <c r="D138" s="90">
        <f>D130+D137</f>
        <v>412443.360575</v>
      </c>
      <c r="E138" s="90">
        <f t="shared" ref="E138:F138" si="196">E130+E137</f>
        <v>22648.762499999997</v>
      </c>
      <c r="F138" s="90">
        <f t="shared" si="196"/>
        <v>4662958.9591306392</v>
      </c>
      <c r="H138" s="90">
        <f>H130+H137</f>
        <v>2082329.9011819998</v>
      </c>
      <c r="I138" s="90">
        <f t="shared" ref="I138" si="197">I130+I137</f>
        <v>120407.5</v>
      </c>
      <c r="J138" s="90">
        <f>J130+J137</f>
        <v>325457.8</v>
      </c>
      <c r="K138" s="90">
        <f t="shared" ref="K138:L138" si="198">K130+K137</f>
        <v>29241.824999999997</v>
      </c>
      <c r="L138" s="90">
        <f t="shared" si="198"/>
        <v>2554587.0261819996</v>
      </c>
      <c r="N138" s="90">
        <f>N130+N137</f>
        <v>6016884.1911876388</v>
      </c>
      <c r="O138" s="90">
        <f t="shared" ref="O138" si="199">O130+O137</f>
        <v>420070.04604999989</v>
      </c>
      <c r="P138" s="90">
        <f>P130+P137</f>
        <v>737901.16057499999</v>
      </c>
      <c r="Q138" s="90">
        <f t="shared" ref="Q138:R138" si="200">Q130+Q137</f>
        <v>51890.587499999994</v>
      </c>
      <c r="R138" s="90">
        <f t="shared" si="200"/>
        <v>7226745.9853126397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201">C1</f>
        <v>Weights</v>
      </c>
      <c r="D139" s="153" t="str">
        <f>D1</f>
        <v>SPED</v>
      </c>
      <c r="E139" s="153" t="str">
        <f t="shared" ref="E139:F139" si="202">E1</f>
        <v>NSLP</v>
      </c>
      <c r="F139" s="153" t="str">
        <f t="shared" si="202"/>
        <v>Mt. Rose</v>
      </c>
      <c r="H139" s="153" t="str">
        <f>H1</f>
        <v>Operating</v>
      </c>
      <c r="I139" s="153" t="str">
        <f t="shared" ref="I139" si="203">I1</f>
        <v>Weights</v>
      </c>
      <c r="J139" s="153" t="str">
        <f>J1</f>
        <v>SPED</v>
      </c>
      <c r="K139" s="153" t="str">
        <f t="shared" ref="K139:L139" si="204">K1</f>
        <v>NSLP</v>
      </c>
      <c r="L139" s="153" t="str">
        <f t="shared" si="204"/>
        <v>New Campus</v>
      </c>
      <c r="N139" s="153" t="str">
        <f>N1</f>
        <v>Operating</v>
      </c>
      <c r="O139" s="153" t="str">
        <f t="shared" ref="O139" si="205">O1</f>
        <v>Weights</v>
      </c>
      <c r="P139" s="153" t="str">
        <f>P1</f>
        <v>SPED</v>
      </c>
      <c r="Q139" s="153" t="str">
        <f t="shared" ref="Q139:R139" si="206">Q1</f>
        <v>NSLP</v>
      </c>
      <c r="R139" s="153" t="str">
        <f t="shared" si="206"/>
        <v>DANN Total</v>
      </c>
    </row>
    <row r="140" spans="1:18" x14ac:dyDescent="0.35">
      <c r="A140" s="98" t="s">
        <v>88</v>
      </c>
      <c r="B140" s="15">
        <f>140*B19</f>
        <v>139440</v>
      </c>
      <c r="C140" s="15"/>
      <c r="D140" s="15"/>
      <c r="E140" s="15"/>
      <c r="F140" s="15">
        <f t="shared" ref="F140:F148" si="207">SUM(B140:E140)</f>
        <v>139440</v>
      </c>
      <c r="H140" s="15">
        <f>75*H19</f>
        <v>40800</v>
      </c>
      <c r="I140" s="15"/>
      <c r="J140" s="15"/>
      <c r="K140" s="15"/>
      <c r="L140" s="15">
        <f t="shared" ref="L140:L148" si="208">SUM(H140:K140)</f>
        <v>40800</v>
      </c>
      <c r="N140" s="7">
        <f t="shared" ref="N140" si="209">B140+H140</f>
        <v>180240</v>
      </c>
      <c r="O140" s="7">
        <f t="shared" ref="O140" si="210">C140+I140</f>
        <v>0</v>
      </c>
      <c r="P140" s="7">
        <f t="shared" ref="P140" si="211">D140+J140</f>
        <v>0</v>
      </c>
      <c r="Q140" s="7">
        <f t="shared" ref="Q140" si="212">E140+K140</f>
        <v>0</v>
      </c>
      <c r="R140" s="15">
        <f t="shared" ref="R140:R148" si="213">SUM(N140:Q140)</f>
        <v>180240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207"/>
        <v>0</v>
      </c>
      <c r="H141" s="7">
        <v>0</v>
      </c>
      <c r="I141" s="7"/>
      <c r="J141" s="7"/>
      <c r="K141" s="7"/>
      <c r="L141" s="15">
        <f t="shared" si="208"/>
        <v>0</v>
      </c>
      <c r="N141" s="7">
        <f t="shared" ref="N141:N149" si="214">B141+H141</f>
        <v>0</v>
      </c>
      <c r="O141" s="7">
        <f t="shared" ref="O141:O149" si="215">C141+I141</f>
        <v>0</v>
      </c>
      <c r="P141" s="7">
        <f t="shared" ref="P141:P149" si="216">D141+J141</f>
        <v>0</v>
      </c>
      <c r="Q141" s="7">
        <f t="shared" ref="Q141:Q149" si="217">E141+K141</f>
        <v>0</v>
      </c>
      <c r="R141" s="15">
        <f t="shared" si="213"/>
        <v>0</v>
      </c>
    </row>
    <row r="142" spans="1:18" x14ac:dyDescent="0.35">
      <c r="A142" s="63" t="s">
        <v>89</v>
      </c>
      <c r="B142" s="11">
        <v>145000</v>
      </c>
      <c r="C142" s="11"/>
      <c r="D142" s="11"/>
      <c r="E142" s="11"/>
      <c r="F142" s="15">
        <f t="shared" si="207"/>
        <v>145000</v>
      </c>
      <c r="H142" s="11">
        <v>76500</v>
      </c>
      <c r="I142" s="11"/>
      <c r="J142" s="11"/>
      <c r="K142" s="11"/>
      <c r="L142" s="15">
        <f t="shared" si="208"/>
        <v>76500</v>
      </c>
      <c r="N142" s="7">
        <f t="shared" si="214"/>
        <v>221500</v>
      </c>
      <c r="O142" s="7">
        <f t="shared" si="215"/>
        <v>0</v>
      </c>
      <c r="P142" s="7">
        <f t="shared" si="216"/>
        <v>0</v>
      </c>
      <c r="Q142" s="7">
        <f t="shared" si="217"/>
        <v>0</v>
      </c>
      <c r="R142" s="15">
        <f t="shared" si="213"/>
        <v>221500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207"/>
        <v>0</v>
      </c>
      <c r="H143" s="7"/>
      <c r="I143" s="7">
        <v>0</v>
      </c>
      <c r="J143" s="7"/>
      <c r="K143" s="7"/>
      <c r="L143" s="15">
        <f t="shared" si="208"/>
        <v>0</v>
      </c>
      <c r="N143" s="7">
        <f t="shared" si="214"/>
        <v>0</v>
      </c>
      <c r="O143" s="7">
        <f t="shared" si="215"/>
        <v>0</v>
      </c>
      <c r="P143" s="7">
        <f t="shared" si="216"/>
        <v>0</v>
      </c>
      <c r="Q143" s="7">
        <f t="shared" si="217"/>
        <v>0</v>
      </c>
      <c r="R143" s="15">
        <f t="shared" si="213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218">13*C19</f>
        <v>0</v>
      </c>
      <c r="D144" s="7"/>
      <c r="E144" s="7"/>
      <c r="F144" s="15">
        <f t="shared" si="207"/>
        <v>13944</v>
      </c>
      <c r="H144" s="7">
        <f>14*H19</f>
        <v>7616</v>
      </c>
      <c r="I144" s="7">
        <f t="shared" ref="I144" si="219">13*I19</f>
        <v>0</v>
      </c>
      <c r="J144" s="7"/>
      <c r="K144" s="7"/>
      <c r="L144" s="15">
        <f t="shared" si="208"/>
        <v>7616</v>
      </c>
      <c r="N144" s="7">
        <f t="shared" si="214"/>
        <v>21560</v>
      </c>
      <c r="O144" s="7">
        <f t="shared" si="215"/>
        <v>0</v>
      </c>
      <c r="P144" s="7">
        <f t="shared" si="216"/>
        <v>0</v>
      </c>
      <c r="Q144" s="7">
        <f t="shared" si="217"/>
        <v>0</v>
      </c>
      <c r="R144" s="15">
        <f t="shared" si="213"/>
        <v>21560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207"/>
        <v>28884</v>
      </c>
      <c r="H145" s="7">
        <f>(29*H19)</f>
        <v>15776</v>
      </c>
      <c r="I145" s="7">
        <v>0</v>
      </c>
      <c r="J145" s="7"/>
      <c r="K145" s="7"/>
      <c r="L145" s="15">
        <f t="shared" si="208"/>
        <v>15776</v>
      </c>
      <c r="N145" s="7">
        <f t="shared" si="214"/>
        <v>44660</v>
      </c>
      <c r="O145" s="7">
        <f t="shared" si="215"/>
        <v>0</v>
      </c>
      <c r="P145" s="7">
        <f t="shared" si="216"/>
        <v>0</v>
      </c>
      <c r="Q145" s="7">
        <f t="shared" si="217"/>
        <v>0</v>
      </c>
      <c r="R145" s="15">
        <f t="shared" si="213"/>
        <v>44660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220">4*C19</f>
        <v>0</v>
      </c>
      <c r="D146" s="7"/>
      <c r="E146" s="7"/>
      <c r="F146" s="15">
        <f t="shared" si="207"/>
        <v>4233</v>
      </c>
      <c r="H146" s="7">
        <f>4.25*H19</f>
        <v>2312</v>
      </c>
      <c r="I146" s="7">
        <f t="shared" ref="I146" si="221">4*I19</f>
        <v>0</v>
      </c>
      <c r="J146" s="7"/>
      <c r="K146" s="7"/>
      <c r="L146" s="15">
        <f t="shared" si="208"/>
        <v>2312</v>
      </c>
      <c r="N146" s="7">
        <f t="shared" si="214"/>
        <v>6545</v>
      </c>
      <c r="O146" s="7">
        <f t="shared" si="215"/>
        <v>0</v>
      </c>
      <c r="P146" s="7">
        <f t="shared" si="216"/>
        <v>0</v>
      </c>
      <c r="Q146" s="7">
        <f t="shared" si="217"/>
        <v>0</v>
      </c>
      <c r="R146" s="15">
        <f t="shared" si="213"/>
        <v>6545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222">3*C19</f>
        <v>0</v>
      </c>
      <c r="D147" s="7"/>
      <c r="E147" s="7"/>
      <c r="F147" s="15">
        <f t="shared" si="207"/>
        <v>3237</v>
      </c>
      <c r="H147" s="7">
        <f>3.25*H19</f>
        <v>1768</v>
      </c>
      <c r="I147" s="7">
        <f t="shared" ref="I147" si="223">3*I19</f>
        <v>0</v>
      </c>
      <c r="J147" s="7"/>
      <c r="K147" s="7"/>
      <c r="L147" s="15">
        <f t="shared" si="208"/>
        <v>1768</v>
      </c>
      <c r="N147" s="7">
        <f t="shared" si="214"/>
        <v>5005</v>
      </c>
      <c r="O147" s="7">
        <f t="shared" si="215"/>
        <v>0</v>
      </c>
      <c r="P147" s="7">
        <f t="shared" si="216"/>
        <v>0</v>
      </c>
      <c r="Q147" s="7">
        <f t="shared" si="217"/>
        <v>0</v>
      </c>
      <c r="R147" s="15">
        <f t="shared" si="213"/>
        <v>5005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224">120*C22</f>
        <v>0</v>
      </c>
      <c r="D148" s="7">
        <f>129*D22</f>
        <v>13932</v>
      </c>
      <c r="E148" s="7"/>
      <c r="F148" s="15">
        <f t="shared" si="207"/>
        <v>13932</v>
      </c>
      <c r="H148" s="7">
        <f>120*H22</f>
        <v>0</v>
      </c>
      <c r="I148" s="7">
        <f t="shared" ref="I148" si="225">120*I22</f>
        <v>0</v>
      </c>
      <c r="J148" s="7">
        <f>129*J22</f>
        <v>11929.92</v>
      </c>
      <c r="K148" s="7"/>
      <c r="L148" s="15">
        <f t="shared" si="208"/>
        <v>11929.92</v>
      </c>
      <c r="N148" s="7">
        <f t="shared" si="214"/>
        <v>0</v>
      </c>
      <c r="O148" s="7">
        <f t="shared" si="215"/>
        <v>0</v>
      </c>
      <c r="P148" s="7">
        <f t="shared" si="216"/>
        <v>25861.919999999998</v>
      </c>
      <c r="Q148" s="7">
        <f t="shared" si="217"/>
        <v>0</v>
      </c>
      <c r="R148" s="15">
        <f t="shared" si="213"/>
        <v>25861.919999999998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214"/>
        <v>0</v>
      </c>
      <c r="O149" s="7">
        <f t="shared" si="215"/>
        <v>0</v>
      </c>
      <c r="P149" s="7">
        <f t="shared" si="216"/>
        <v>0</v>
      </c>
      <c r="Q149" s="7">
        <f t="shared" si="217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334738</v>
      </c>
      <c r="C150" s="92">
        <f t="shared" ref="C150:F150" si="226">SUM(C140:C149)</f>
        <v>0</v>
      </c>
      <c r="D150" s="92">
        <f t="shared" si="226"/>
        <v>13932</v>
      </c>
      <c r="E150" s="92">
        <f t="shared" si="226"/>
        <v>0</v>
      </c>
      <c r="F150" s="92">
        <f t="shared" si="226"/>
        <v>348670</v>
      </c>
      <c r="H150" s="92">
        <f>SUM(H140:H149)</f>
        <v>144772</v>
      </c>
      <c r="I150" s="92">
        <f t="shared" ref="I150:L150" si="227">SUM(I140:I149)</f>
        <v>0</v>
      </c>
      <c r="J150" s="92">
        <f t="shared" si="227"/>
        <v>11929.92</v>
      </c>
      <c r="K150" s="92">
        <f t="shared" si="227"/>
        <v>0</v>
      </c>
      <c r="L150" s="92">
        <f t="shared" si="227"/>
        <v>156701.92000000001</v>
      </c>
      <c r="N150" s="92">
        <f>SUM(N140:N149)</f>
        <v>479510</v>
      </c>
      <c r="O150" s="92">
        <f t="shared" ref="O150:R150" si="228">SUM(O140:O149)</f>
        <v>0</v>
      </c>
      <c r="P150" s="92">
        <f t="shared" si="228"/>
        <v>25861.919999999998</v>
      </c>
      <c r="Q150" s="92">
        <f t="shared" si="228"/>
        <v>0</v>
      </c>
      <c r="R150" s="92">
        <f t="shared" si="228"/>
        <v>505371.92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229">C1</f>
        <v>Weights</v>
      </c>
      <c r="D151" s="153" t="str">
        <f>D1</f>
        <v>SPED</v>
      </c>
      <c r="E151" s="153" t="str">
        <f t="shared" ref="E151:F151" si="230">E1</f>
        <v>NSLP</v>
      </c>
      <c r="F151" s="153" t="str">
        <f t="shared" si="230"/>
        <v>Mt. Rose</v>
      </c>
      <c r="H151" s="153" t="str">
        <f>H1</f>
        <v>Operating</v>
      </c>
      <c r="I151" s="153" t="str">
        <f t="shared" ref="I151" si="231">I1</f>
        <v>Weights</v>
      </c>
      <c r="J151" s="153" t="str">
        <f>J1</f>
        <v>SPED</v>
      </c>
      <c r="K151" s="153" t="str">
        <f t="shared" ref="K151:L151" si="232">K1</f>
        <v>NSLP</v>
      </c>
      <c r="L151" s="153" t="str">
        <f t="shared" si="232"/>
        <v>New Campus</v>
      </c>
      <c r="N151" s="153" t="str">
        <f>N1</f>
        <v>Operating</v>
      </c>
      <c r="O151" s="153" t="str">
        <f t="shared" ref="O151" si="233">O1</f>
        <v>Weights</v>
      </c>
      <c r="P151" s="153" t="str">
        <f>P1</f>
        <v>SPED</v>
      </c>
      <c r="Q151" s="153" t="str">
        <f t="shared" ref="Q151:R151" si="234">Q1</f>
        <v>NSLP</v>
      </c>
      <c r="R151" s="153" t="str">
        <f t="shared" si="234"/>
        <v>DANN Total</v>
      </c>
    </row>
    <row r="152" spans="1:18" x14ac:dyDescent="0.35">
      <c r="A152" s="63" t="s">
        <v>99</v>
      </c>
      <c r="B152" s="80">
        <v>0</v>
      </c>
      <c r="C152" s="80">
        <v>12500</v>
      </c>
      <c r="D152" s="80"/>
      <c r="E152" s="80"/>
      <c r="F152" s="80">
        <f t="shared" ref="F152:F163" si="235">SUM(B152:E152)</f>
        <v>12500</v>
      </c>
      <c r="H152" s="80">
        <v>0</v>
      </c>
      <c r="I152" s="80">
        <f>12500*0.5</f>
        <v>6250</v>
      </c>
      <c r="J152" s="80"/>
      <c r="K152" s="80"/>
      <c r="L152" s="80">
        <f t="shared" ref="L152:L163" si="236">SUM(H152:K152)</f>
        <v>6250</v>
      </c>
      <c r="N152" s="7">
        <f t="shared" ref="N152" si="237">B152+H152</f>
        <v>0</v>
      </c>
      <c r="O152" s="7">
        <f t="shared" ref="O152" si="238">C152+I152</f>
        <v>18750</v>
      </c>
      <c r="P152" s="7">
        <f t="shared" ref="P152" si="239">D152+J152</f>
        <v>0</v>
      </c>
      <c r="Q152" s="7">
        <f t="shared" ref="Q152" si="240">E152+K152</f>
        <v>0</v>
      </c>
      <c r="R152" s="80">
        <f t="shared" ref="R152:R163" si="241">SUM(N152:Q152)</f>
        <v>18750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235"/>
        <v>258960</v>
      </c>
      <c r="H153" s="14">
        <v>0</v>
      </c>
      <c r="I153" s="146"/>
      <c r="J153" s="11">
        <f>200*H19</f>
        <v>108800</v>
      </c>
      <c r="K153" s="146"/>
      <c r="L153" s="80">
        <f t="shared" si="236"/>
        <v>108800</v>
      </c>
      <c r="N153" s="7">
        <f t="shared" ref="N153:N164" si="242">B153+H153</f>
        <v>0</v>
      </c>
      <c r="O153" s="7">
        <f t="shared" ref="O153:O164" si="243">C153+I153</f>
        <v>0</v>
      </c>
      <c r="P153" s="7">
        <f t="shared" ref="P153:P164" si="244">D153+J153</f>
        <v>367760</v>
      </c>
      <c r="Q153" s="7">
        <f t="shared" ref="Q153:Q164" si="245">E153+K153</f>
        <v>0</v>
      </c>
      <c r="R153" s="80">
        <f t="shared" si="241"/>
        <v>367760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235"/>
        <v>0</v>
      </c>
      <c r="H154" s="11">
        <v>0</v>
      </c>
      <c r="I154" s="146"/>
      <c r="J154" s="14"/>
      <c r="K154" s="146"/>
      <c r="L154" s="80">
        <f t="shared" si="236"/>
        <v>0</v>
      </c>
      <c r="N154" s="7">
        <f t="shared" si="242"/>
        <v>0</v>
      </c>
      <c r="O154" s="7">
        <f t="shared" si="243"/>
        <v>0</v>
      </c>
      <c r="P154" s="7">
        <f t="shared" si="244"/>
        <v>0</v>
      </c>
      <c r="Q154" s="7">
        <f t="shared" si="245"/>
        <v>0</v>
      </c>
      <c r="R154" s="80">
        <f t="shared" si="241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235"/>
        <v>448200</v>
      </c>
      <c r="H155" s="202">
        <v>0</v>
      </c>
      <c r="I155" s="7"/>
      <c r="J155" s="7"/>
      <c r="K155" s="7"/>
      <c r="L155" s="80">
        <f t="shared" si="236"/>
        <v>0</v>
      </c>
      <c r="N155" s="7">
        <f t="shared" si="242"/>
        <v>448200</v>
      </c>
      <c r="O155" s="7">
        <f t="shared" si="243"/>
        <v>0</v>
      </c>
      <c r="P155" s="7">
        <f t="shared" si="244"/>
        <v>0</v>
      </c>
      <c r="Q155" s="7">
        <f t="shared" si="245"/>
        <v>0</v>
      </c>
      <c r="R155" s="80">
        <f t="shared" si="241"/>
        <v>448200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235"/>
        <v>14460</v>
      </c>
      <c r="H156" s="7">
        <f>(240*H67)+1500</f>
        <v>8820</v>
      </c>
      <c r="I156" s="7"/>
      <c r="J156" s="7"/>
      <c r="K156" s="7"/>
      <c r="L156" s="80">
        <f t="shared" si="236"/>
        <v>8820</v>
      </c>
      <c r="N156" s="7">
        <f t="shared" si="242"/>
        <v>23280</v>
      </c>
      <c r="O156" s="7">
        <f t="shared" si="243"/>
        <v>0</v>
      </c>
      <c r="P156" s="7">
        <f t="shared" si="244"/>
        <v>0</v>
      </c>
      <c r="Q156" s="7">
        <f t="shared" si="245"/>
        <v>0</v>
      </c>
      <c r="R156" s="80">
        <f t="shared" si="241"/>
        <v>23280</v>
      </c>
    </row>
    <row r="157" spans="1:18" x14ac:dyDescent="0.35">
      <c r="A157" s="63" t="s">
        <v>104</v>
      </c>
      <c r="B157" s="7">
        <f>(28500*1.03)</f>
        <v>29355</v>
      </c>
      <c r="C157" s="7"/>
      <c r="D157" s="7"/>
      <c r="E157" s="7"/>
      <c r="F157" s="80">
        <f t="shared" si="235"/>
        <v>29355</v>
      </c>
      <c r="H157" s="7">
        <v>0</v>
      </c>
      <c r="I157" s="7"/>
      <c r="J157" s="7"/>
      <c r="K157" s="7"/>
      <c r="L157" s="80">
        <f t="shared" si="236"/>
        <v>0</v>
      </c>
      <c r="N157" s="7">
        <f t="shared" si="242"/>
        <v>29355</v>
      </c>
      <c r="O157" s="7">
        <f t="shared" si="243"/>
        <v>0</v>
      </c>
      <c r="P157" s="7">
        <f t="shared" si="244"/>
        <v>0</v>
      </c>
      <c r="Q157" s="7">
        <f t="shared" si="245"/>
        <v>0</v>
      </c>
      <c r="R157" s="80">
        <f t="shared" si="241"/>
        <v>29355</v>
      </c>
    </row>
    <row r="158" spans="1:18" x14ac:dyDescent="0.35">
      <c r="A158" s="63" t="s">
        <v>105</v>
      </c>
      <c r="B158" s="7">
        <v>5500</v>
      </c>
      <c r="C158" s="7"/>
      <c r="D158" s="7"/>
      <c r="E158" s="7"/>
      <c r="F158" s="80">
        <f t="shared" si="235"/>
        <v>5500</v>
      </c>
      <c r="H158" s="7">
        <v>5500</v>
      </c>
      <c r="I158" s="7"/>
      <c r="J158" s="7"/>
      <c r="K158" s="7"/>
      <c r="L158" s="80">
        <f t="shared" si="236"/>
        <v>5500</v>
      </c>
      <c r="N158" s="7">
        <f t="shared" si="242"/>
        <v>11000</v>
      </c>
      <c r="O158" s="7">
        <f t="shared" si="243"/>
        <v>0</v>
      </c>
      <c r="P158" s="7">
        <f t="shared" si="244"/>
        <v>0</v>
      </c>
      <c r="Q158" s="7">
        <f t="shared" si="245"/>
        <v>0</v>
      </c>
      <c r="R158" s="80">
        <f t="shared" si="241"/>
        <v>11000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235"/>
        <v>44820</v>
      </c>
      <c r="H159" s="7">
        <f>45*H19</f>
        <v>24480</v>
      </c>
      <c r="I159" s="7"/>
      <c r="J159" s="7"/>
      <c r="K159" s="7"/>
      <c r="L159" s="80">
        <f t="shared" si="236"/>
        <v>24480</v>
      </c>
      <c r="N159" s="7">
        <f t="shared" si="242"/>
        <v>69300</v>
      </c>
      <c r="O159" s="7">
        <f t="shared" si="243"/>
        <v>0</v>
      </c>
      <c r="P159" s="7">
        <f t="shared" si="244"/>
        <v>0</v>
      </c>
      <c r="Q159" s="7">
        <f t="shared" si="245"/>
        <v>0</v>
      </c>
      <c r="R159" s="80">
        <f t="shared" si="241"/>
        <v>69300</v>
      </c>
    </row>
    <row r="160" spans="1:18" x14ac:dyDescent="0.35">
      <c r="A160" s="63" t="s">
        <v>107</v>
      </c>
      <c r="B160" s="7">
        <v>10000</v>
      </c>
      <c r="C160" s="7"/>
      <c r="D160" s="7"/>
      <c r="E160" s="7"/>
      <c r="F160" s="80">
        <f t="shared" si="235"/>
        <v>10000</v>
      </c>
      <c r="H160" s="7">
        <v>15000</v>
      </c>
      <c r="I160" s="7"/>
      <c r="J160" s="7"/>
      <c r="K160" s="7"/>
      <c r="L160" s="80">
        <f t="shared" si="236"/>
        <v>15000</v>
      </c>
      <c r="N160" s="7">
        <f t="shared" si="242"/>
        <v>25000</v>
      </c>
      <c r="O160" s="7">
        <f t="shared" si="243"/>
        <v>0</v>
      </c>
      <c r="P160" s="7">
        <f t="shared" si="244"/>
        <v>0</v>
      </c>
      <c r="Q160" s="7">
        <f t="shared" si="245"/>
        <v>0</v>
      </c>
      <c r="R160" s="80">
        <f t="shared" si="241"/>
        <v>25000</v>
      </c>
    </row>
    <row r="161" spans="1:18" x14ac:dyDescent="0.35">
      <c r="A161" s="63" t="s">
        <v>219</v>
      </c>
      <c r="B161" s="7">
        <f>(B88+B89)*0.0125</f>
        <v>89826.75</v>
      </c>
      <c r="C161" s="7"/>
      <c r="D161" s="7"/>
      <c r="E161" s="7"/>
      <c r="F161" s="80">
        <f t="shared" si="235"/>
        <v>89826.75</v>
      </c>
      <c r="H161" s="7">
        <f>(H88+H89)*0.0125</f>
        <v>49062</v>
      </c>
      <c r="I161" s="7"/>
      <c r="J161" s="7"/>
      <c r="K161" s="7"/>
      <c r="L161" s="80">
        <f t="shared" si="236"/>
        <v>49062</v>
      </c>
      <c r="N161" s="7">
        <f t="shared" si="242"/>
        <v>138888.75</v>
      </c>
      <c r="O161" s="7">
        <f t="shared" si="243"/>
        <v>0</v>
      </c>
      <c r="P161" s="7">
        <f t="shared" si="244"/>
        <v>0</v>
      </c>
      <c r="Q161" s="7">
        <f t="shared" si="245"/>
        <v>0</v>
      </c>
      <c r="R161" s="80">
        <f t="shared" si="241"/>
        <v>138888.75</v>
      </c>
    </row>
    <row r="162" spans="1:18" x14ac:dyDescent="0.35">
      <c r="A162" s="63" t="s">
        <v>108</v>
      </c>
      <c r="B162" s="7">
        <f>(B88+B89)*0.005</f>
        <v>35930.700000000004</v>
      </c>
      <c r="C162" s="7"/>
      <c r="D162" s="7"/>
      <c r="E162" s="7"/>
      <c r="F162" s="80">
        <f t="shared" si="235"/>
        <v>35930.700000000004</v>
      </c>
      <c r="H162" s="7">
        <f>(H88+H89)*0.005</f>
        <v>19624.8</v>
      </c>
      <c r="I162" s="7"/>
      <c r="J162" s="7"/>
      <c r="K162" s="7"/>
      <c r="L162" s="80">
        <f t="shared" si="236"/>
        <v>19624.8</v>
      </c>
      <c r="N162" s="7">
        <f t="shared" si="242"/>
        <v>55555.5</v>
      </c>
      <c r="O162" s="7">
        <f t="shared" si="243"/>
        <v>0</v>
      </c>
      <c r="P162" s="7">
        <f t="shared" si="244"/>
        <v>0</v>
      </c>
      <c r="Q162" s="7">
        <f t="shared" si="245"/>
        <v>0</v>
      </c>
      <c r="R162" s="80">
        <f t="shared" si="241"/>
        <v>55555.5</v>
      </c>
    </row>
    <row r="163" spans="1:18" x14ac:dyDescent="0.35">
      <c r="A163" s="63" t="s">
        <v>109</v>
      </c>
      <c r="B163" s="7">
        <f>(B88+B89)*0.005</f>
        <v>35930.700000000004</v>
      </c>
      <c r="C163" s="7"/>
      <c r="D163" s="7"/>
      <c r="E163" s="7"/>
      <c r="F163" s="80">
        <f t="shared" si="235"/>
        <v>35930.700000000004</v>
      </c>
      <c r="H163" s="7">
        <f>(H88+H89)*0.005</f>
        <v>19624.8</v>
      </c>
      <c r="I163" s="7"/>
      <c r="J163" s="7"/>
      <c r="K163" s="7"/>
      <c r="L163" s="80">
        <f t="shared" si="236"/>
        <v>19624.8</v>
      </c>
      <c r="N163" s="7">
        <f t="shared" si="242"/>
        <v>55555.5</v>
      </c>
      <c r="O163" s="7">
        <f t="shared" si="243"/>
        <v>0</v>
      </c>
      <c r="P163" s="7">
        <f t="shared" si="244"/>
        <v>0</v>
      </c>
      <c r="Q163" s="7">
        <f t="shared" si="245"/>
        <v>0</v>
      </c>
      <c r="R163" s="80">
        <f t="shared" si="241"/>
        <v>55555.5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242"/>
        <v>0</v>
      </c>
      <c r="O164" s="7">
        <f t="shared" si="243"/>
        <v>0</v>
      </c>
      <c r="P164" s="7">
        <f t="shared" si="244"/>
        <v>0</v>
      </c>
      <c r="Q164" s="7">
        <f t="shared" si="245"/>
        <v>0</v>
      </c>
      <c r="R164" s="81"/>
    </row>
    <row r="165" spans="1:18" ht="15" thickBot="1" x14ac:dyDescent="0.4">
      <c r="A165" s="95" t="s">
        <v>111</v>
      </c>
      <c r="B165" s="92">
        <f>SUM(B152:B164)</f>
        <v>714023.14999999991</v>
      </c>
      <c r="C165" s="92">
        <f t="shared" ref="C165" si="246">SUM(C152:C164)</f>
        <v>12500</v>
      </c>
      <c r="D165" s="92">
        <f>SUM(D152:D164)</f>
        <v>258960</v>
      </c>
      <c r="E165" s="92">
        <f t="shared" ref="E165:F165" si="247">SUM(E152:E164)</f>
        <v>0</v>
      </c>
      <c r="F165" s="92">
        <f t="shared" si="247"/>
        <v>985483.14999999991</v>
      </c>
      <c r="H165" s="92">
        <f>SUM(H152:H164)</f>
        <v>142111.6</v>
      </c>
      <c r="I165" s="92">
        <f t="shared" ref="I165" si="248">SUM(I152:I164)</f>
        <v>6250</v>
      </c>
      <c r="J165" s="92">
        <f>SUM(J152:J164)</f>
        <v>108800</v>
      </c>
      <c r="K165" s="92">
        <f t="shared" ref="K165:L165" si="249">SUM(K152:K164)</f>
        <v>0</v>
      </c>
      <c r="L165" s="92">
        <f t="shared" si="249"/>
        <v>257161.59999999998</v>
      </c>
      <c r="N165" s="92">
        <f>SUM(N152:N164)</f>
        <v>856134.75</v>
      </c>
      <c r="O165" s="92">
        <f t="shared" ref="O165" si="250">SUM(O152:O164)</f>
        <v>18750</v>
      </c>
      <c r="P165" s="92">
        <f>SUM(P152:P164)</f>
        <v>367760</v>
      </c>
      <c r="Q165" s="92">
        <f t="shared" ref="Q165:R165" si="251">SUM(Q152:Q164)</f>
        <v>0</v>
      </c>
      <c r="R165" s="92">
        <f t="shared" si="251"/>
        <v>1242644.75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252">C151</f>
        <v>Weights</v>
      </c>
      <c r="D166" s="153" t="str">
        <f>D151</f>
        <v>SPED</v>
      </c>
      <c r="E166" s="153" t="str">
        <f t="shared" ref="E166:F166" si="253">E151</f>
        <v>NSLP</v>
      </c>
      <c r="F166" s="153" t="str">
        <f t="shared" si="253"/>
        <v>Mt. Rose</v>
      </c>
      <c r="H166" s="153" t="str">
        <f>H151</f>
        <v>Operating</v>
      </c>
      <c r="I166" s="153" t="str">
        <f t="shared" ref="I166" si="254">I151</f>
        <v>Weights</v>
      </c>
      <c r="J166" s="153" t="str">
        <f>J151</f>
        <v>SPED</v>
      </c>
      <c r="K166" s="153" t="str">
        <f t="shared" ref="K166:L166" si="255">K151</f>
        <v>NSLP</v>
      </c>
      <c r="L166" s="153" t="str">
        <f t="shared" si="255"/>
        <v>New Campus</v>
      </c>
      <c r="N166" s="153" t="str">
        <f>N151</f>
        <v>Operating</v>
      </c>
      <c r="O166" s="153" t="str">
        <f t="shared" ref="O166" si="256">O151</f>
        <v>Weights</v>
      </c>
      <c r="P166" s="153" t="str">
        <f>P151</f>
        <v>SPED</v>
      </c>
      <c r="Q166" s="153" t="str">
        <f t="shared" ref="Q166:R166" si="257">Q151</f>
        <v>NSLP</v>
      </c>
      <c r="R166" s="153" t="str">
        <f t="shared" si="257"/>
        <v>DANN Total</v>
      </c>
    </row>
    <row r="167" spans="1:18" x14ac:dyDescent="0.35">
      <c r="A167" s="63" t="s">
        <v>113</v>
      </c>
      <c r="B167" s="15">
        <f>'FY23'!C167*1.03</f>
        <v>17242.2</v>
      </c>
      <c r="C167" s="15"/>
      <c r="D167" s="7"/>
      <c r="E167" s="7"/>
      <c r="F167" s="7">
        <f t="shared" ref="F167:F173" si="258">SUM(B167:E167)</f>
        <v>17242.2</v>
      </c>
      <c r="H167" s="15">
        <f>(1320*12+(75*12))*1.03*0.7</f>
        <v>12069.539999999999</v>
      </c>
      <c r="I167" s="15"/>
      <c r="J167" s="7"/>
      <c r="K167" s="7"/>
      <c r="L167" s="7">
        <f t="shared" ref="L167:L173" si="259">SUM(H167:K167)</f>
        <v>12069.539999999999</v>
      </c>
      <c r="N167" s="7">
        <f t="shared" ref="N167" si="260">B167+H167</f>
        <v>29311.739999999998</v>
      </c>
      <c r="O167" s="7">
        <f t="shared" ref="O167" si="261">C167+I167</f>
        <v>0</v>
      </c>
      <c r="P167" s="7">
        <f t="shared" ref="P167" si="262">D167+J167</f>
        <v>0</v>
      </c>
      <c r="Q167" s="7">
        <f t="shared" ref="Q167" si="263">E167+K167</f>
        <v>0</v>
      </c>
      <c r="R167" s="7">
        <f t="shared" ref="R167:R173" si="264">SUM(N167:Q167)</f>
        <v>29311.739999999998</v>
      </c>
    </row>
    <row r="168" spans="1:18" x14ac:dyDescent="0.35">
      <c r="A168" s="63" t="s">
        <v>114</v>
      </c>
      <c r="B168" s="15">
        <f>'FY23'!C168*1.03</f>
        <v>4017</v>
      </c>
      <c r="C168" s="15"/>
      <c r="D168" s="7"/>
      <c r="E168" s="7"/>
      <c r="F168" s="7">
        <f t="shared" si="258"/>
        <v>4017</v>
      </c>
      <c r="H168" s="15">
        <f>(325*12)*1.03</f>
        <v>4017</v>
      </c>
      <c r="I168" s="15"/>
      <c r="J168" s="7"/>
      <c r="K168" s="7"/>
      <c r="L168" s="7">
        <f t="shared" si="259"/>
        <v>4017</v>
      </c>
      <c r="N168" s="7">
        <f t="shared" ref="N168:N173" si="265">B168+H168</f>
        <v>8034</v>
      </c>
      <c r="O168" s="7">
        <f t="shared" ref="O168:O173" si="266">C168+I168</f>
        <v>0</v>
      </c>
      <c r="P168" s="7">
        <f t="shared" ref="P168:P173" si="267">D168+J168</f>
        <v>0</v>
      </c>
      <c r="Q168" s="7">
        <f t="shared" ref="Q168:Q173" si="268">E168+K168</f>
        <v>0</v>
      </c>
      <c r="R168" s="7">
        <f t="shared" si="264"/>
        <v>8034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58"/>
        <v>0</v>
      </c>
      <c r="H169" s="7"/>
      <c r="I169" s="7"/>
      <c r="J169" s="7"/>
      <c r="K169" s="7"/>
      <c r="L169" s="7">
        <f t="shared" si="259"/>
        <v>0</v>
      </c>
      <c r="N169" s="7">
        <f t="shared" si="265"/>
        <v>0</v>
      </c>
      <c r="O169" s="7">
        <f t="shared" si="266"/>
        <v>0</v>
      </c>
      <c r="P169" s="7">
        <f t="shared" si="267"/>
        <v>0</v>
      </c>
      <c r="Q169" s="7">
        <f t="shared" si="268"/>
        <v>0</v>
      </c>
      <c r="R169" s="7">
        <f t="shared" si="264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58"/>
        <v>800</v>
      </c>
      <c r="H170" s="7">
        <v>700</v>
      </c>
      <c r="I170" s="7"/>
      <c r="J170" s="7"/>
      <c r="K170" s="7"/>
      <c r="L170" s="7">
        <f t="shared" si="259"/>
        <v>700</v>
      </c>
      <c r="N170" s="7">
        <f t="shared" si="265"/>
        <v>1500</v>
      </c>
      <c r="O170" s="7">
        <f t="shared" si="266"/>
        <v>0</v>
      </c>
      <c r="P170" s="7">
        <f t="shared" si="267"/>
        <v>0</v>
      </c>
      <c r="Q170" s="7">
        <f t="shared" si="268"/>
        <v>0</v>
      </c>
      <c r="R170" s="7">
        <f t="shared" si="264"/>
        <v>1500</v>
      </c>
    </row>
    <row r="171" spans="1:18" x14ac:dyDescent="0.35">
      <c r="A171" s="63" t="s">
        <v>117</v>
      </c>
      <c r="B171" s="7">
        <v>4500</v>
      </c>
      <c r="C171" s="7"/>
      <c r="D171" s="7"/>
      <c r="E171" s="7"/>
      <c r="F171" s="7">
        <f t="shared" si="258"/>
        <v>4500</v>
      </c>
      <c r="H171" s="7">
        <v>4500</v>
      </c>
      <c r="I171" s="7"/>
      <c r="J171" s="7"/>
      <c r="K171" s="7"/>
      <c r="L171" s="7">
        <f t="shared" si="259"/>
        <v>4500</v>
      </c>
      <c r="N171" s="7">
        <f t="shared" si="265"/>
        <v>9000</v>
      </c>
      <c r="O171" s="7">
        <f t="shared" si="266"/>
        <v>0</v>
      </c>
      <c r="P171" s="7">
        <f t="shared" si="267"/>
        <v>0</v>
      </c>
      <c r="Q171" s="7">
        <f t="shared" si="268"/>
        <v>0</v>
      </c>
      <c r="R171" s="7">
        <f t="shared" si="264"/>
        <v>9000</v>
      </c>
    </row>
    <row r="172" spans="1:18" x14ac:dyDescent="0.35">
      <c r="A172" s="63" t="s">
        <v>118</v>
      </c>
      <c r="B172" s="15">
        <f>30000*1.03</f>
        <v>30900</v>
      </c>
      <c r="C172" s="7"/>
      <c r="D172" s="7"/>
      <c r="E172" s="7"/>
      <c r="F172" s="7">
        <f t="shared" si="258"/>
        <v>30900</v>
      </c>
      <c r="H172" s="15">
        <f>25000*1.03</f>
        <v>25750</v>
      </c>
      <c r="I172" s="7"/>
      <c r="J172" s="7"/>
      <c r="K172" s="7"/>
      <c r="L172" s="7">
        <f t="shared" si="259"/>
        <v>25750</v>
      </c>
      <c r="N172" s="7">
        <f t="shared" si="265"/>
        <v>56650</v>
      </c>
      <c r="O172" s="7">
        <f t="shared" si="266"/>
        <v>0</v>
      </c>
      <c r="P172" s="7">
        <f t="shared" si="267"/>
        <v>0</v>
      </c>
      <c r="Q172" s="7">
        <f t="shared" si="268"/>
        <v>0</v>
      </c>
      <c r="R172" s="7">
        <f t="shared" si="264"/>
        <v>56650</v>
      </c>
    </row>
    <row r="173" spans="1:18" ht="15" thickBot="1" x14ac:dyDescent="0.4">
      <c r="A173" s="63" t="s">
        <v>119</v>
      </c>
      <c r="B173" s="7">
        <f>3200*1.03</f>
        <v>3296</v>
      </c>
      <c r="C173" s="7"/>
      <c r="D173" s="7"/>
      <c r="E173" s="7"/>
      <c r="F173" s="7">
        <f t="shared" si="258"/>
        <v>3296</v>
      </c>
      <c r="H173" s="7">
        <f>3200*1.03</f>
        <v>3296</v>
      </c>
      <c r="I173" s="7"/>
      <c r="J173" s="7"/>
      <c r="K173" s="7"/>
      <c r="L173" s="7">
        <f t="shared" si="259"/>
        <v>3296</v>
      </c>
      <c r="N173" s="7">
        <f t="shared" si="265"/>
        <v>6592</v>
      </c>
      <c r="O173" s="7">
        <f t="shared" si="266"/>
        <v>0</v>
      </c>
      <c r="P173" s="7">
        <f t="shared" si="267"/>
        <v>0</v>
      </c>
      <c r="Q173" s="7">
        <f t="shared" si="268"/>
        <v>0</v>
      </c>
      <c r="R173" s="7">
        <f t="shared" si="264"/>
        <v>6592</v>
      </c>
    </row>
    <row r="174" spans="1:18" ht="15" thickBot="1" x14ac:dyDescent="0.4">
      <c r="A174" s="95" t="s">
        <v>120</v>
      </c>
      <c r="B174" s="92">
        <f>SUM(B167:B173)</f>
        <v>60755.199999999997</v>
      </c>
      <c r="C174" s="92">
        <f t="shared" ref="C174:F174" si="269">SUM(C167:C173)</f>
        <v>0</v>
      </c>
      <c r="D174" s="92">
        <f t="shared" si="269"/>
        <v>0</v>
      </c>
      <c r="E174" s="92">
        <f t="shared" si="269"/>
        <v>0</v>
      </c>
      <c r="F174" s="92">
        <f t="shared" si="269"/>
        <v>60755.199999999997</v>
      </c>
      <c r="H174" s="92">
        <f>SUM(H167:H173)</f>
        <v>50332.54</v>
      </c>
      <c r="I174" s="92">
        <f t="shared" ref="I174:L174" si="270">SUM(I167:I173)</f>
        <v>0</v>
      </c>
      <c r="J174" s="92">
        <f t="shared" si="270"/>
        <v>0</v>
      </c>
      <c r="K174" s="92">
        <f t="shared" si="270"/>
        <v>0</v>
      </c>
      <c r="L174" s="92">
        <f t="shared" si="270"/>
        <v>50332.54</v>
      </c>
      <c r="N174" s="92">
        <f>SUM(N167:N173)</f>
        <v>111087.73999999999</v>
      </c>
      <c r="O174" s="92">
        <f t="shared" ref="O174:R174" si="271">SUM(O167:O173)</f>
        <v>0</v>
      </c>
      <c r="P174" s="92">
        <f t="shared" si="271"/>
        <v>0</v>
      </c>
      <c r="Q174" s="92">
        <f t="shared" si="271"/>
        <v>0</v>
      </c>
      <c r="R174" s="92">
        <f t="shared" si="271"/>
        <v>111087.73999999999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'FY23'!C176*1.06</f>
        <v>12826.000000000002</v>
      </c>
      <c r="C176" s="15"/>
      <c r="D176" s="15"/>
      <c r="E176" s="15"/>
      <c r="F176" s="15">
        <f>SUM(B176:E176)</f>
        <v>12826.000000000002</v>
      </c>
      <c r="H176" s="189">
        <f>(37525*1.06)*0.2</f>
        <v>7955.3</v>
      </c>
      <c r="I176" s="15"/>
      <c r="J176" s="15"/>
      <c r="K176" s="15"/>
      <c r="L176" s="15">
        <f>SUM(H176:K176)</f>
        <v>7955.3</v>
      </c>
      <c r="N176" s="7">
        <f t="shared" ref="N176" si="272">B176+H176</f>
        <v>20781.300000000003</v>
      </c>
      <c r="O176" s="7">
        <f t="shared" ref="O176" si="273">C176+I176</f>
        <v>0</v>
      </c>
      <c r="P176" s="7">
        <f t="shared" ref="P176" si="274">D176+J176</f>
        <v>0</v>
      </c>
      <c r="Q176" s="7">
        <f t="shared" ref="Q176" si="275">E176+K176</f>
        <v>0</v>
      </c>
      <c r="R176" s="15">
        <f>SUM(N176:Q176)</f>
        <v>20781.300000000003</v>
      </c>
    </row>
    <row r="177" spans="1:18" x14ac:dyDescent="0.35">
      <c r="A177" s="63" t="s">
        <v>122</v>
      </c>
      <c r="B177" s="15">
        <f>'FY23'!C177*1.06</f>
        <v>11660</v>
      </c>
      <c r="C177" s="7"/>
      <c r="D177" s="7"/>
      <c r="E177" s="7"/>
      <c r="F177" s="15">
        <f>SUM(B177:E177)</f>
        <v>11660</v>
      </c>
      <c r="H177" s="189">
        <f t="shared" ref="H177:H178" si="276">(37525*1.06)*0.2</f>
        <v>7955.3</v>
      </c>
      <c r="I177" s="7"/>
      <c r="J177" s="7"/>
      <c r="K177" s="7"/>
      <c r="L177" s="15">
        <f>SUM(H177:K177)</f>
        <v>7955.3</v>
      </c>
      <c r="N177" s="7">
        <f t="shared" ref="N177:N178" si="277">B177+H177</f>
        <v>19615.3</v>
      </c>
      <c r="O177" s="7">
        <f t="shared" ref="O177:O178" si="278">C177+I177</f>
        <v>0</v>
      </c>
      <c r="P177" s="7">
        <f t="shared" ref="P177:P178" si="279">D177+J177</f>
        <v>0</v>
      </c>
      <c r="Q177" s="7">
        <f t="shared" ref="Q177:Q178" si="280">E177+K177</f>
        <v>0</v>
      </c>
      <c r="R177" s="15">
        <f>SUM(N177:Q177)</f>
        <v>19615.3</v>
      </c>
    </row>
    <row r="178" spans="1:18" ht="15" thickBot="1" x14ac:dyDescent="0.4">
      <c r="A178" s="63" t="s">
        <v>123</v>
      </c>
      <c r="B178" s="15">
        <f>'FY23'!C178*1.06</f>
        <v>20405</v>
      </c>
      <c r="C178" s="7"/>
      <c r="D178" s="7"/>
      <c r="E178" s="7"/>
      <c r="F178" s="15">
        <f>SUM(B178:E178)</f>
        <v>20405</v>
      </c>
      <c r="H178" s="189">
        <f t="shared" si="276"/>
        <v>7955.3</v>
      </c>
      <c r="I178" s="7"/>
      <c r="J178" s="7"/>
      <c r="K178" s="7"/>
      <c r="L178" s="15">
        <f>SUM(H178:K178)</f>
        <v>7955.3</v>
      </c>
      <c r="N178" s="7">
        <f t="shared" si="277"/>
        <v>28360.3</v>
      </c>
      <c r="O178" s="7">
        <f t="shared" si="278"/>
        <v>0</v>
      </c>
      <c r="P178" s="7">
        <f t="shared" si="279"/>
        <v>0</v>
      </c>
      <c r="Q178" s="7">
        <f t="shared" si="280"/>
        <v>0</v>
      </c>
      <c r="R178" s="15">
        <f>SUM(N178:Q178)</f>
        <v>28360.3</v>
      </c>
    </row>
    <row r="179" spans="1:18" ht="15" thickBot="1" x14ac:dyDescent="0.4">
      <c r="A179" s="95" t="s">
        <v>124</v>
      </c>
      <c r="B179" s="92">
        <f>SUM(B176:B178)</f>
        <v>44891</v>
      </c>
      <c r="C179" s="92">
        <f t="shared" ref="C179:F179" si="281">SUM(C176:C178)</f>
        <v>0</v>
      </c>
      <c r="D179" s="92">
        <f t="shared" si="281"/>
        <v>0</v>
      </c>
      <c r="E179" s="92">
        <f t="shared" si="281"/>
        <v>0</v>
      </c>
      <c r="F179" s="92">
        <f t="shared" si="281"/>
        <v>44891</v>
      </c>
      <c r="H179" s="92">
        <f>SUM(H176:H178)</f>
        <v>23865.9</v>
      </c>
      <c r="I179" s="92">
        <f t="shared" ref="I179:L179" si="282">SUM(I176:I178)</f>
        <v>0</v>
      </c>
      <c r="J179" s="92">
        <f t="shared" si="282"/>
        <v>0</v>
      </c>
      <c r="K179" s="92">
        <f t="shared" si="282"/>
        <v>0</v>
      </c>
      <c r="L179" s="92">
        <f t="shared" si="282"/>
        <v>23865.9</v>
      </c>
      <c r="N179" s="92">
        <f>SUM(N176:N178)</f>
        <v>68756.900000000009</v>
      </c>
      <c r="O179" s="92">
        <f t="shared" ref="O179:R179" si="283">SUM(O176:O178)</f>
        <v>0</v>
      </c>
      <c r="P179" s="92">
        <f t="shared" si="283"/>
        <v>0</v>
      </c>
      <c r="Q179" s="92">
        <f t="shared" si="283"/>
        <v>0</v>
      </c>
      <c r="R179" s="92">
        <f t="shared" si="283"/>
        <v>68756.900000000009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84">C1</f>
        <v>Weights</v>
      </c>
      <c r="D180" s="96" t="str">
        <f>D1</f>
        <v>SPED</v>
      </c>
      <c r="E180" s="96" t="str">
        <f t="shared" ref="E180:F180" si="285">E1</f>
        <v>NSLP</v>
      </c>
      <c r="F180" s="96" t="str">
        <f t="shared" si="285"/>
        <v>Mt. Rose</v>
      </c>
      <c r="H180" s="96" t="str">
        <f>H1</f>
        <v>Operating</v>
      </c>
      <c r="I180" s="96" t="str">
        <f t="shared" ref="I180" si="286">I1</f>
        <v>Weights</v>
      </c>
      <c r="J180" s="96" t="str">
        <f>J1</f>
        <v>SPED</v>
      </c>
      <c r="K180" s="96" t="str">
        <f t="shared" ref="K180:L180" si="287">K1</f>
        <v>NSLP</v>
      </c>
      <c r="L180" s="96" t="str">
        <f t="shared" si="287"/>
        <v>New Campus</v>
      </c>
      <c r="N180" s="96" t="str">
        <f>N1</f>
        <v>Operating</v>
      </c>
      <c r="O180" s="96" t="str">
        <f t="shared" ref="O180" si="288">O1</f>
        <v>Weights</v>
      </c>
      <c r="P180" s="96" t="str">
        <f>P1</f>
        <v>SPED</v>
      </c>
      <c r="Q180" s="96" t="str">
        <f t="shared" ref="Q180:R180" si="289">Q1</f>
        <v>NSLP</v>
      </c>
      <c r="R180" s="96" t="str">
        <f t="shared" si="289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((B19*E25)*3.6*180)+1000</f>
        <v>65540.800000000017</v>
      </c>
      <c r="F181" s="14">
        <f t="shared" ref="F181:F189" si="290">SUM(B181:E181)</f>
        <v>65540.800000000017</v>
      </c>
      <c r="H181" s="146">
        <v>0</v>
      </c>
      <c r="I181" s="146"/>
      <c r="J181" s="146"/>
      <c r="K181" s="14">
        <f>((H19*K25)*3.65*180)+1000</f>
        <v>197574.40000000002</v>
      </c>
      <c r="L181" s="14">
        <f t="shared" ref="L181:L189" si="291">SUM(H181:K181)</f>
        <v>197574.40000000002</v>
      </c>
      <c r="N181" s="7">
        <f t="shared" ref="N181" si="292">B181+H181</f>
        <v>0</v>
      </c>
      <c r="O181" s="7">
        <f t="shared" ref="O181" si="293">C181+I181</f>
        <v>0</v>
      </c>
      <c r="P181" s="7">
        <f t="shared" ref="P181" si="294">D181+J181</f>
        <v>0</v>
      </c>
      <c r="Q181" s="7">
        <f t="shared" ref="Q181" si="295">E181+K181</f>
        <v>263115.20000000007</v>
      </c>
      <c r="R181" s="14">
        <f t="shared" ref="R181:R189" si="296">SUM(N181:Q181)</f>
        <v>263115.20000000007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90"/>
        <v>1500</v>
      </c>
      <c r="H182" s="7">
        <v>5000</v>
      </c>
      <c r="I182" s="7"/>
      <c r="J182" s="7"/>
      <c r="K182" s="7"/>
      <c r="L182" s="14">
        <f t="shared" si="291"/>
        <v>5000</v>
      </c>
      <c r="N182" s="7">
        <f t="shared" ref="N182:N189" si="297">B182+H182</f>
        <v>6500</v>
      </c>
      <c r="O182" s="7">
        <f t="shared" ref="O182:O189" si="298">C182+I182</f>
        <v>0</v>
      </c>
      <c r="P182" s="7">
        <f t="shared" ref="P182:P189" si="299">D182+J182</f>
        <v>0</v>
      </c>
      <c r="Q182" s="7">
        <f t="shared" ref="Q182:Q189" si="300">E182+K182</f>
        <v>0</v>
      </c>
      <c r="R182" s="14">
        <f t="shared" si="296"/>
        <v>6500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90"/>
        <v>1250</v>
      </c>
      <c r="H183" s="7">
        <v>1250</v>
      </c>
      <c r="I183" s="7"/>
      <c r="J183" s="7"/>
      <c r="K183" s="7"/>
      <c r="L183" s="14">
        <f t="shared" si="291"/>
        <v>1250</v>
      </c>
      <c r="N183" s="7">
        <f t="shared" si="297"/>
        <v>2500</v>
      </c>
      <c r="O183" s="7">
        <f t="shared" si="298"/>
        <v>0</v>
      </c>
      <c r="P183" s="7">
        <f t="shared" si="299"/>
        <v>0</v>
      </c>
      <c r="Q183" s="7">
        <f t="shared" si="300"/>
        <v>0</v>
      </c>
      <c r="R183" s="14">
        <f t="shared" si="296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90"/>
        <v>750</v>
      </c>
      <c r="H184" s="7">
        <f>75*10</f>
        <v>750</v>
      </c>
      <c r="I184" s="7"/>
      <c r="J184" s="7"/>
      <c r="K184" s="7"/>
      <c r="L184" s="14">
        <f t="shared" si="291"/>
        <v>750</v>
      </c>
      <c r="N184" s="7">
        <f t="shared" si="297"/>
        <v>1500</v>
      </c>
      <c r="O184" s="7">
        <f t="shared" si="298"/>
        <v>0</v>
      </c>
      <c r="P184" s="7">
        <f t="shared" si="299"/>
        <v>0</v>
      </c>
      <c r="Q184" s="7">
        <f t="shared" si="300"/>
        <v>0</v>
      </c>
      <c r="R184" s="14">
        <f t="shared" si="296"/>
        <v>1500</v>
      </c>
    </row>
    <row r="185" spans="1:18" x14ac:dyDescent="0.35">
      <c r="A185" s="63" t="s">
        <v>130</v>
      </c>
      <c r="B185" s="15">
        <v>11500</v>
      </c>
      <c r="C185" s="15"/>
      <c r="D185" s="15"/>
      <c r="E185" s="15"/>
      <c r="F185" s="14">
        <f t="shared" si="290"/>
        <v>11500</v>
      </c>
      <c r="H185" s="15">
        <v>6500</v>
      </c>
      <c r="I185" s="15"/>
      <c r="J185" s="15"/>
      <c r="K185" s="15"/>
      <c r="L185" s="14">
        <f t="shared" si="291"/>
        <v>6500</v>
      </c>
      <c r="N185" s="7">
        <f t="shared" si="297"/>
        <v>18000</v>
      </c>
      <c r="O185" s="7">
        <f t="shared" si="298"/>
        <v>0</v>
      </c>
      <c r="P185" s="7">
        <f t="shared" si="299"/>
        <v>0</v>
      </c>
      <c r="Q185" s="7">
        <f t="shared" si="300"/>
        <v>0</v>
      </c>
      <c r="R185" s="14">
        <f t="shared" si="296"/>
        <v>18000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90"/>
        <v>0</v>
      </c>
      <c r="H186" s="159"/>
      <c r="I186" s="152"/>
      <c r="J186" s="152"/>
      <c r="K186" s="152"/>
      <c r="L186" s="14">
        <f t="shared" si="291"/>
        <v>0</v>
      </c>
      <c r="N186" s="7">
        <f t="shared" si="297"/>
        <v>0</v>
      </c>
      <c r="O186" s="7">
        <f t="shared" si="298"/>
        <v>0</v>
      </c>
      <c r="P186" s="7">
        <f t="shared" si="299"/>
        <v>0</v>
      </c>
      <c r="Q186" s="7">
        <f t="shared" si="300"/>
        <v>0</v>
      </c>
      <c r="R186" s="14">
        <f t="shared" si="296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90"/>
        <v>0</v>
      </c>
      <c r="H187" s="159"/>
      <c r="I187" s="15"/>
      <c r="J187" s="15"/>
      <c r="K187" s="15"/>
      <c r="L187" s="14">
        <f t="shared" si="291"/>
        <v>0</v>
      </c>
      <c r="N187" s="7">
        <f t="shared" si="297"/>
        <v>0</v>
      </c>
      <c r="O187" s="7">
        <f t="shared" si="298"/>
        <v>0</v>
      </c>
      <c r="P187" s="7">
        <f t="shared" si="299"/>
        <v>0</v>
      </c>
      <c r="Q187" s="7">
        <f t="shared" si="300"/>
        <v>0</v>
      </c>
      <c r="R187" s="14">
        <f t="shared" si="296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90"/>
        <v>0</v>
      </c>
      <c r="H188" s="159"/>
      <c r="I188" s="15"/>
      <c r="J188" s="15"/>
      <c r="K188" s="15"/>
      <c r="L188" s="14">
        <f t="shared" si="291"/>
        <v>0</v>
      </c>
      <c r="N188" s="7">
        <f t="shared" si="297"/>
        <v>0</v>
      </c>
      <c r="O188" s="7">
        <f t="shared" si="298"/>
        <v>0</v>
      </c>
      <c r="P188" s="7">
        <f t="shared" si="299"/>
        <v>0</v>
      </c>
      <c r="Q188" s="7">
        <f t="shared" si="300"/>
        <v>0</v>
      </c>
      <c r="R188" s="14">
        <f t="shared" si="296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90"/>
        <v>1750</v>
      </c>
      <c r="H189" s="7">
        <v>1750</v>
      </c>
      <c r="I189" s="7"/>
      <c r="J189" s="7"/>
      <c r="K189" s="7"/>
      <c r="L189" s="14">
        <f t="shared" si="291"/>
        <v>1750</v>
      </c>
      <c r="N189" s="7">
        <f t="shared" si="297"/>
        <v>3500</v>
      </c>
      <c r="O189" s="7">
        <f t="shared" si="298"/>
        <v>0</v>
      </c>
      <c r="P189" s="7">
        <f t="shared" si="299"/>
        <v>0</v>
      </c>
      <c r="Q189" s="7">
        <f t="shared" si="300"/>
        <v>0</v>
      </c>
      <c r="R189" s="14">
        <f t="shared" si="296"/>
        <v>3500</v>
      </c>
    </row>
    <row r="190" spans="1:18" ht="15" thickBot="1" x14ac:dyDescent="0.4">
      <c r="A190" s="95" t="s">
        <v>135</v>
      </c>
      <c r="B190" s="92">
        <f>SUM(B181:B189)</f>
        <v>16750</v>
      </c>
      <c r="C190" s="92">
        <f t="shared" ref="C190:F190" si="301">SUM(C181:C189)</f>
        <v>0</v>
      </c>
      <c r="D190" s="92">
        <f t="shared" si="301"/>
        <v>0</v>
      </c>
      <c r="E190" s="92">
        <f t="shared" si="301"/>
        <v>65540.800000000017</v>
      </c>
      <c r="F190" s="92">
        <f t="shared" si="301"/>
        <v>82290.800000000017</v>
      </c>
      <c r="H190" s="92">
        <f>SUM(H181:H189)</f>
        <v>15250</v>
      </c>
      <c r="I190" s="92">
        <f t="shared" ref="I190:L190" si="302">SUM(I181:I189)</f>
        <v>0</v>
      </c>
      <c r="J190" s="92">
        <f t="shared" si="302"/>
        <v>0</v>
      </c>
      <c r="K190" s="92">
        <f t="shared" si="302"/>
        <v>197574.40000000002</v>
      </c>
      <c r="L190" s="92">
        <f t="shared" si="302"/>
        <v>212824.40000000002</v>
      </c>
      <c r="N190" s="92">
        <f>SUM(N181:N189)</f>
        <v>32000</v>
      </c>
      <c r="O190" s="92">
        <f t="shared" ref="O190:R190" si="303">SUM(O181:O189)</f>
        <v>0</v>
      </c>
      <c r="P190" s="92">
        <f t="shared" si="303"/>
        <v>0</v>
      </c>
      <c r="Q190" s="92">
        <f t="shared" si="303"/>
        <v>263115.20000000007</v>
      </c>
      <c r="R190" s="92">
        <f t="shared" si="303"/>
        <v>295115.20000000007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304">C180</f>
        <v>Weights</v>
      </c>
      <c r="D191" s="77" t="str">
        <f>D180</f>
        <v>SPED</v>
      </c>
      <c r="E191" s="77" t="str">
        <f t="shared" ref="E191:F191" si="305">E180</f>
        <v>NSLP</v>
      </c>
      <c r="F191" s="77" t="str">
        <f t="shared" si="305"/>
        <v>Mt. Rose</v>
      </c>
      <c r="H191" s="77" t="str">
        <f>H180</f>
        <v>Operating</v>
      </c>
      <c r="I191" s="77" t="str">
        <f t="shared" ref="I191" si="306">I180</f>
        <v>Weights</v>
      </c>
      <c r="J191" s="77" t="str">
        <f>J180</f>
        <v>SPED</v>
      </c>
      <c r="K191" s="77" t="str">
        <f t="shared" ref="K191:L191" si="307">K180</f>
        <v>NSLP</v>
      </c>
      <c r="L191" s="77" t="str">
        <f t="shared" si="307"/>
        <v>New Campus</v>
      </c>
      <c r="N191" s="77" t="str">
        <f>N180</f>
        <v>Operating</v>
      </c>
      <c r="O191" s="77" t="str">
        <f t="shared" ref="O191" si="308">O180</f>
        <v>Weights</v>
      </c>
      <c r="P191" s="77" t="str">
        <f>P180</f>
        <v>SPED</v>
      </c>
      <c r="Q191" s="77" t="str">
        <f t="shared" ref="Q191:R191" si="309">Q180</f>
        <v>NSLP</v>
      </c>
      <c r="R191" s="77" t="str">
        <f t="shared" si="309"/>
        <v>DANN Total</v>
      </c>
    </row>
    <row r="192" spans="1:18" x14ac:dyDescent="0.35">
      <c r="A192" s="63" t="s">
        <v>137</v>
      </c>
      <c r="B192" s="62">
        <f>'FY23'!C192*1.03</f>
        <v>61800</v>
      </c>
      <c r="C192" s="62"/>
      <c r="D192" s="62"/>
      <c r="E192" s="62"/>
      <c r="F192" s="62">
        <f t="shared" ref="F192:F202" si="310">SUM(B192:E192)</f>
        <v>61800</v>
      </c>
      <c r="H192" s="62">
        <f>((3675*12)*1.04)*0.67</f>
        <v>30728.880000000001</v>
      </c>
      <c r="I192" s="62"/>
      <c r="J192" s="62"/>
      <c r="K192" s="62"/>
      <c r="L192" s="62">
        <f t="shared" ref="L192:L202" si="311">SUM(H192:K192)</f>
        <v>30728.880000000001</v>
      </c>
      <c r="N192" s="7">
        <f t="shared" ref="N192" si="312">B192+H192</f>
        <v>92528.88</v>
      </c>
      <c r="O192" s="7">
        <f t="shared" ref="O192" si="313">C192+I192</f>
        <v>0</v>
      </c>
      <c r="P192" s="7">
        <f t="shared" ref="P192" si="314">D192+J192</f>
        <v>0</v>
      </c>
      <c r="Q192" s="7">
        <f t="shared" ref="Q192" si="315">E192+K192</f>
        <v>0</v>
      </c>
      <c r="R192" s="62">
        <f t="shared" ref="R192:R202" si="316">SUM(N192:Q192)</f>
        <v>92528.88</v>
      </c>
    </row>
    <row r="193" spans="1:20" x14ac:dyDescent="0.35">
      <c r="A193" s="63" t="s">
        <v>138</v>
      </c>
      <c r="B193" s="62">
        <f>'FY23'!C193*1.03</f>
        <v>3914</v>
      </c>
      <c r="C193" s="15"/>
      <c r="D193" s="15"/>
      <c r="E193" s="15"/>
      <c r="F193" s="62">
        <f t="shared" si="310"/>
        <v>3914</v>
      </c>
      <c r="H193" s="15">
        <v>0</v>
      </c>
      <c r="I193" s="15"/>
      <c r="J193" s="15"/>
      <c r="K193" s="15"/>
      <c r="L193" s="62">
        <f t="shared" si="311"/>
        <v>0</v>
      </c>
      <c r="N193" s="7">
        <f t="shared" ref="N193:N202" si="317">B193+H193</f>
        <v>3914</v>
      </c>
      <c r="O193" s="7">
        <f t="shared" ref="O193:O202" si="318">C193+I193</f>
        <v>0</v>
      </c>
      <c r="P193" s="7">
        <f t="shared" ref="P193:P202" si="319">D193+J193</f>
        <v>0</v>
      </c>
      <c r="Q193" s="7">
        <f t="shared" ref="Q193:Q202" si="320">E193+K193</f>
        <v>0</v>
      </c>
      <c r="R193" s="62">
        <f t="shared" si="316"/>
        <v>3914</v>
      </c>
    </row>
    <row r="194" spans="1:20" x14ac:dyDescent="0.35">
      <c r="A194" s="63" t="s">
        <v>139</v>
      </c>
      <c r="B194" s="62">
        <f>'FY23'!C194*1.03</f>
        <v>6180</v>
      </c>
      <c r="C194" s="7"/>
      <c r="D194" s="7"/>
      <c r="E194" s="7"/>
      <c r="F194" s="62">
        <f t="shared" si="310"/>
        <v>6180</v>
      </c>
      <c r="H194" s="7">
        <f>(350*12)*1.04</f>
        <v>4368</v>
      </c>
      <c r="I194" s="7"/>
      <c r="J194" s="7"/>
      <c r="K194" s="7"/>
      <c r="L194" s="62">
        <f t="shared" si="311"/>
        <v>4368</v>
      </c>
      <c r="N194" s="7">
        <f t="shared" si="317"/>
        <v>10548</v>
      </c>
      <c r="O194" s="7">
        <f t="shared" si="318"/>
        <v>0</v>
      </c>
      <c r="P194" s="7">
        <f t="shared" si="319"/>
        <v>0</v>
      </c>
      <c r="Q194" s="7">
        <f t="shared" si="320"/>
        <v>0</v>
      </c>
      <c r="R194" s="62">
        <f t="shared" si="316"/>
        <v>10548</v>
      </c>
    </row>
    <row r="195" spans="1:20" x14ac:dyDescent="0.35">
      <c r="A195" s="63" t="s">
        <v>140</v>
      </c>
      <c r="B195" s="62">
        <f>'FY23'!C195*1.03</f>
        <v>24720</v>
      </c>
      <c r="C195" s="7"/>
      <c r="D195" s="7"/>
      <c r="E195" s="7"/>
      <c r="F195" s="62">
        <f t="shared" si="310"/>
        <v>24720</v>
      </c>
      <c r="H195" s="7">
        <f>(((165*12)+(845*12)+3500)*1.04)*0.67</f>
        <v>10884.016000000001</v>
      </c>
      <c r="I195" s="7"/>
      <c r="J195" s="7"/>
      <c r="K195" s="7"/>
      <c r="L195" s="62">
        <f t="shared" si="311"/>
        <v>10884.016000000001</v>
      </c>
      <c r="N195" s="7">
        <f t="shared" si="317"/>
        <v>35604.016000000003</v>
      </c>
      <c r="O195" s="7">
        <f t="shared" si="318"/>
        <v>0</v>
      </c>
      <c r="P195" s="7">
        <f t="shared" si="319"/>
        <v>0</v>
      </c>
      <c r="Q195" s="7">
        <f t="shared" si="320"/>
        <v>0</v>
      </c>
      <c r="R195" s="62">
        <f t="shared" si="316"/>
        <v>35604.016000000003</v>
      </c>
    </row>
    <row r="196" spans="1:20" x14ac:dyDescent="0.35">
      <c r="A196" s="63" t="s">
        <v>141</v>
      </c>
      <c r="B196" s="62">
        <f>'FY23'!C196*1.03</f>
        <v>7210</v>
      </c>
      <c r="C196" s="7"/>
      <c r="D196" s="7"/>
      <c r="E196" s="7"/>
      <c r="F196" s="62">
        <f t="shared" si="310"/>
        <v>7210</v>
      </c>
      <c r="H196" s="7">
        <f>((270*12)+(105*12)+2500)*1.03</f>
        <v>7210</v>
      </c>
      <c r="I196" s="7"/>
      <c r="J196" s="7"/>
      <c r="K196" s="7"/>
      <c r="L196" s="62">
        <f t="shared" si="311"/>
        <v>7210</v>
      </c>
      <c r="N196" s="7">
        <f t="shared" si="317"/>
        <v>14420</v>
      </c>
      <c r="O196" s="7">
        <f t="shared" si="318"/>
        <v>0</v>
      </c>
      <c r="P196" s="7">
        <f t="shared" si="319"/>
        <v>0</v>
      </c>
      <c r="Q196" s="7">
        <f t="shared" si="320"/>
        <v>0</v>
      </c>
      <c r="R196" s="62">
        <f t="shared" si="316"/>
        <v>14420</v>
      </c>
      <c r="T196">
        <f>0.18*36000</f>
        <v>6480</v>
      </c>
    </row>
    <row r="197" spans="1:20" x14ac:dyDescent="0.35">
      <c r="A197" s="63" t="s">
        <v>142</v>
      </c>
      <c r="B197" s="62">
        <f>'FY23'!C197*1.03</f>
        <v>111892.196</v>
      </c>
      <c r="C197" s="11"/>
      <c r="D197" s="11"/>
      <c r="E197" s="11"/>
      <c r="F197" s="62">
        <f t="shared" si="310"/>
        <v>111892.196</v>
      </c>
      <c r="G197" s="198"/>
      <c r="H197" s="15">
        <f>(11250*12)*0.67</f>
        <v>90450</v>
      </c>
      <c r="I197" s="11"/>
      <c r="J197" s="11"/>
      <c r="K197" s="11"/>
      <c r="L197" s="62">
        <f t="shared" si="311"/>
        <v>90450</v>
      </c>
      <c r="N197" s="7">
        <f t="shared" si="317"/>
        <v>202342.196</v>
      </c>
      <c r="O197" s="7">
        <f t="shared" si="318"/>
        <v>0</v>
      </c>
      <c r="P197" s="7">
        <f t="shared" si="319"/>
        <v>0</v>
      </c>
      <c r="Q197" s="7">
        <f t="shared" si="320"/>
        <v>0</v>
      </c>
      <c r="R197" s="62">
        <f t="shared" si="316"/>
        <v>202342.196</v>
      </c>
      <c r="T197">
        <f>T196*12</f>
        <v>77760</v>
      </c>
    </row>
    <row r="198" spans="1:20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310"/>
        <v>31872</v>
      </c>
      <c r="H198" s="7">
        <f>32*H5</f>
        <v>17408</v>
      </c>
      <c r="I198" s="7"/>
      <c r="J198" s="7"/>
      <c r="K198" s="7"/>
      <c r="L198" s="62">
        <f t="shared" si="311"/>
        <v>17408</v>
      </c>
      <c r="N198" s="7">
        <f t="shared" si="317"/>
        <v>49280</v>
      </c>
      <c r="O198" s="7">
        <f t="shared" si="318"/>
        <v>0</v>
      </c>
      <c r="P198" s="7">
        <f t="shared" si="319"/>
        <v>0</v>
      </c>
      <c r="Q198" s="7">
        <f t="shared" si="320"/>
        <v>0</v>
      </c>
      <c r="R198" s="62">
        <f t="shared" si="316"/>
        <v>49280</v>
      </c>
    </row>
    <row r="199" spans="1:20" x14ac:dyDescent="0.35">
      <c r="A199" s="63" t="s">
        <v>145</v>
      </c>
      <c r="B199" s="7">
        <v>41000</v>
      </c>
      <c r="C199" s="7"/>
      <c r="D199" s="7"/>
      <c r="E199" s="7"/>
      <c r="F199" s="62">
        <f t="shared" si="310"/>
        <v>41000</v>
      </c>
      <c r="H199" s="7">
        <v>21500</v>
      </c>
      <c r="I199" s="7"/>
      <c r="J199" s="7"/>
      <c r="K199" s="7"/>
      <c r="L199" s="62">
        <f t="shared" si="311"/>
        <v>21500</v>
      </c>
      <c r="N199" s="7">
        <f t="shared" si="317"/>
        <v>62500</v>
      </c>
      <c r="O199" s="7">
        <f t="shared" si="318"/>
        <v>0</v>
      </c>
      <c r="P199" s="7">
        <f t="shared" si="319"/>
        <v>0</v>
      </c>
      <c r="Q199" s="7">
        <f t="shared" si="320"/>
        <v>0</v>
      </c>
      <c r="R199" s="62">
        <f t="shared" si="316"/>
        <v>62500</v>
      </c>
    </row>
    <row r="200" spans="1:20" x14ac:dyDescent="0.35">
      <c r="A200" s="63" t="s">
        <v>146</v>
      </c>
      <c r="B200" s="7">
        <f>(1456*12)*1.03</f>
        <v>17996.16</v>
      </c>
      <c r="C200" s="11"/>
      <c r="D200" s="11"/>
      <c r="E200" s="11"/>
      <c r="F200" s="62">
        <f t="shared" si="310"/>
        <v>17996.16</v>
      </c>
      <c r="H200" s="7">
        <f>((1263*12)*1.03)*0.65</f>
        <v>10146.942000000001</v>
      </c>
      <c r="I200" s="11"/>
      <c r="J200" s="11"/>
      <c r="K200" s="11"/>
      <c r="L200" s="62">
        <f t="shared" si="311"/>
        <v>10146.942000000001</v>
      </c>
      <c r="N200" s="7">
        <f t="shared" si="317"/>
        <v>28143.101999999999</v>
      </c>
      <c r="O200" s="7">
        <f t="shared" si="318"/>
        <v>0</v>
      </c>
      <c r="P200" s="7">
        <f t="shared" si="319"/>
        <v>0</v>
      </c>
      <c r="Q200" s="7">
        <f t="shared" si="320"/>
        <v>0</v>
      </c>
      <c r="R200" s="62">
        <f t="shared" si="316"/>
        <v>28143.101999999999</v>
      </c>
    </row>
    <row r="201" spans="1:20" x14ac:dyDescent="0.35">
      <c r="A201" s="63" t="s">
        <v>147</v>
      </c>
      <c r="B201" s="7">
        <v>15500</v>
      </c>
      <c r="C201" s="7"/>
      <c r="D201" s="7"/>
      <c r="E201" s="7"/>
      <c r="F201" s="62">
        <f t="shared" si="310"/>
        <v>15500</v>
      </c>
      <c r="H201" s="7">
        <v>10000</v>
      </c>
      <c r="I201" s="7"/>
      <c r="J201" s="7"/>
      <c r="K201" s="7"/>
      <c r="L201" s="62">
        <f t="shared" si="311"/>
        <v>10000</v>
      </c>
      <c r="N201" s="7">
        <f t="shared" si="317"/>
        <v>25500</v>
      </c>
      <c r="O201" s="7">
        <f t="shared" si="318"/>
        <v>0</v>
      </c>
      <c r="P201" s="7">
        <f t="shared" si="319"/>
        <v>0</v>
      </c>
      <c r="Q201" s="7">
        <f t="shared" si="320"/>
        <v>0</v>
      </c>
      <c r="R201" s="62">
        <f t="shared" si="316"/>
        <v>25500</v>
      </c>
    </row>
    <row r="202" spans="1:20" ht="15" thickBot="1" x14ac:dyDescent="0.4">
      <c r="A202" s="63" t="s">
        <v>148</v>
      </c>
      <c r="B202" s="37">
        <f>((3963*2)+1500)*1.03</f>
        <v>9708.7800000000007</v>
      </c>
      <c r="C202" s="86"/>
      <c r="D202" s="86"/>
      <c r="E202" s="86"/>
      <c r="F202" s="62">
        <f t="shared" si="310"/>
        <v>9708.7800000000007</v>
      </c>
      <c r="H202" s="37">
        <f>((3963*2)+1500)*1.03</f>
        <v>9708.7800000000007</v>
      </c>
      <c r="I202" s="86"/>
      <c r="J202" s="86"/>
      <c r="K202" s="86"/>
      <c r="L202" s="62">
        <f t="shared" si="311"/>
        <v>9708.7800000000007</v>
      </c>
      <c r="N202" s="7">
        <f t="shared" si="317"/>
        <v>19417.560000000001</v>
      </c>
      <c r="O202" s="7">
        <f t="shared" si="318"/>
        <v>0</v>
      </c>
      <c r="P202" s="7">
        <f t="shared" si="319"/>
        <v>0</v>
      </c>
      <c r="Q202" s="7">
        <f t="shared" si="320"/>
        <v>0</v>
      </c>
      <c r="R202" s="62">
        <f t="shared" si="316"/>
        <v>19417.560000000001</v>
      </c>
    </row>
    <row r="203" spans="1:20" ht="15" thickBot="1" x14ac:dyDescent="0.4">
      <c r="A203" s="95" t="s">
        <v>149</v>
      </c>
      <c r="B203" s="90">
        <f>SUM(B192:B202)</f>
        <v>331793.136</v>
      </c>
      <c r="C203" s="90">
        <f t="shared" ref="C203" si="321">SUM(C192:C202)</f>
        <v>0</v>
      </c>
      <c r="D203" s="90">
        <f>SUM(D192:D202)</f>
        <v>0</v>
      </c>
      <c r="E203" s="90">
        <f t="shared" ref="E203:F203" si="322">SUM(E192:E202)</f>
        <v>0</v>
      </c>
      <c r="F203" s="90">
        <f t="shared" si="322"/>
        <v>331793.136</v>
      </c>
      <c r="H203" s="90">
        <f>SUM(H192:H202)</f>
        <v>212404.61800000002</v>
      </c>
      <c r="I203" s="90">
        <f t="shared" ref="I203" si="323">SUM(I192:I202)</f>
        <v>0</v>
      </c>
      <c r="J203" s="90">
        <f>SUM(J192:J202)</f>
        <v>0</v>
      </c>
      <c r="K203" s="90">
        <f t="shared" ref="K203:L203" si="324">SUM(K192:K202)</f>
        <v>0</v>
      </c>
      <c r="L203" s="90">
        <f t="shared" si="324"/>
        <v>212404.61800000002</v>
      </c>
      <c r="N203" s="90">
        <f>SUM(N192:N202)</f>
        <v>544197.75400000007</v>
      </c>
      <c r="O203" s="90">
        <f t="shared" ref="O203" si="325">SUM(O192:O202)</f>
        <v>0</v>
      </c>
      <c r="P203" s="90">
        <f>SUM(P192:P202)</f>
        <v>0</v>
      </c>
      <c r="Q203" s="90">
        <f t="shared" ref="Q203:R203" si="326">SUM(Q192:Q202)</f>
        <v>0</v>
      </c>
      <c r="R203" s="90">
        <f t="shared" si="326"/>
        <v>544197.75400000007</v>
      </c>
    </row>
    <row r="204" spans="1:20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20" ht="15" thickBot="1" x14ac:dyDescent="0.4">
      <c r="A205" s="95" t="s">
        <v>150</v>
      </c>
      <c r="B205" s="104">
        <f>B138+B150+B165+B174+B179+B190+B203</f>
        <v>5437504.7760056397</v>
      </c>
      <c r="C205" s="104">
        <f t="shared" ref="C205" si="327">C138+C150+C165+C174+C179+C190+C203</f>
        <v>312162.54604999995</v>
      </c>
      <c r="D205" s="104">
        <f>D138+D150+D165+D174+D179+D190+D203</f>
        <v>685335.36057500006</v>
      </c>
      <c r="E205" s="104">
        <f t="shared" ref="E205" si="328">E138+E150+E165+E174+E179+E190+E203</f>
        <v>88189.562500000015</v>
      </c>
      <c r="F205" s="104">
        <f>F138+F150+F165+F174+F179+F190+F203</f>
        <v>6516842.2451306395</v>
      </c>
      <c r="H205" s="104">
        <f>H138+H150+H165+H174+H179+H190+H203</f>
        <v>2671066.5591819994</v>
      </c>
      <c r="I205" s="104">
        <f t="shared" ref="I205" si="329">I138+I150+I165+I174+I179+I190+I203</f>
        <v>126657.5</v>
      </c>
      <c r="J205" s="104">
        <f>J138+J150+J165+J174+J179+J190+J203</f>
        <v>446187.72</v>
      </c>
      <c r="K205" s="104">
        <f t="shared" ref="K205" si="330">K138+K150+K165+K174+K179+K190+K203</f>
        <v>226816.22500000003</v>
      </c>
      <c r="L205" s="104">
        <f>L138+L150+L165+L174+L179+L190+L203</f>
        <v>3467878.0041819997</v>
      </c>
      <c r="N205" s="104">
        <f>N138+N150+N165+N174+N179+N190+N203</f>
        <v>8108571.3351876391</v>
      </c>
      <c r="O205" s="104">
        <f t="shared" ref="O205" si="331">O138+O150+O165+O174+O179+O190+O203</f>
        <v>438820.04604999989</v>
      </c>
      <c r="P205" s="104">
        <f>P138+P150+P165+P174+P179+P190+P203</f>
        <v>1131523.080575</v>
      </c>
      <c r="Q205" s="104">
        <f t="shared" ref="Q205" si="332">Q138+Q150+Q165+Q174+Q179+Q190+Q203</f>
        <v>315005.78750000009</v>
      </c>
      <c r="R205" s="104">
        <f>R138+R150+R165+R174+R179+R190+R203</f>
        <v>9993920.2493126392</v>
      </c>
    </row>
    <row r="206" spans="1:20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20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333">SUM(B207:E207)</f>
        <v>0</v>
      </c>
      <c r="H207" s="189">
        <v>600000</v>
      </c>
      <c r="I207" s="7"/>
      <c r="J207" s="7"/>
      <c r="K207" s="7"/>
      <c r="L207" s="7">
        <f t="shared" ref="L207:L216" si="334">SUM(H207:K207)</f>
        <v>600000</v>
      </c>
      <c r="N207" s="7">
        <f t="shared" ref="N207" si="335">B207+H207</f>
        <v>600000</v>
      </c>
      <c r="O207" s="7">
        <f t="shared" ref="O207" si="336">C207+I207</f>
        <v>0</v>
      </c>
      <c r="P207" s="7">
        <f t="shared" ref="P207" si="337">D207+J207</f>
        <v>0</v>
      </c>
      <c r="Q207" s="7">
        <f t="shared" ref="Q207" si="338">E207+K207</f>
        <v>0</v>
      </c>
      <c r="R207" s="7">
        <f t="shared" ref="R207:R216" si="339">SUM(N207:Q207)</f>
        <v>600000</v>
      </c>
    </row>
    <row r="208" spans="1:20" x14ac:dyDescent="0.35">
      <c r="A208" s="106" t="s">
        <v>152</v>
      </c>
      <c r="B208" s="15">
        <v>1114865</v>
      </c>
      <c r="C208" s="7">
        <v>0</v>
      </c>
      <c r="D208" s="7"/>
      <c r="E208" s="7"/>
      <c r="F208" s="7">
        <f t="shared" si="333"/>
        <v>1114865</v>
      </c>
      <c r="H208" s="7">
        <v>0</v>
      </c>
      <c r="I208" s="7">
        <v>0</v>
      </c>
      <c r="J208" s="7"/>
      <c r="K208" s="7"/>
      <c r="L208" s="7">
        <f t="shared" si="334"/>
        <v>0</v>
      </c>
      <c r="N208" s="7">
        <f t="shared" ref="N208:N217" si="340">B208+H208</f>
        <v>1114865</v>
      </c>
      <c r="O208" s="7">
        <f t="shared" ref="O208:O217" si="341">C208+I208</f>
        <v>0</v>
      </c>
      <c r="P208" s="7">
        <f t="shared" ref="P208:P217" si="342">D208+J208</f>
        <v>0</v>
      </c>
      <c r="Q208" s="7">
        <f t="shared" ref="Q208:Q217" si="343">E208+K208</f>
        <v>0</v>
      </c>
      <c r="R208" s="7">
        <f t="shared" si="339"/>
        <v>1114865</v>
      </c>
    </row>
    <row r="209" spans="1:18" hidden="1" x14ac:dyDescent="0.35">
      <c r="A209" s="106"/>
      <c r="B209" s="7"/>
      <c r="C209" s="7"/>
      <c r="D209" s="7"/>
      <c r="E209" s="7"/>
      <c r="F209" s="7">
        <f t="shared" si="333"/>
        <v>0</v>
      </c>
      <c r="H209" s="7"/>
      <c r="I209" s="7"/>
      <c r="J209" s="7"/>
      <c r="K209" s="7"/>
      <c r="L209" s="7">
        <f t="shared" si="334"/>
        <v>0</v>
      </c>
      <c r="N209" s="7">
        <f t="shared" si="340"/>
        <v>0</v>
      </c>
      <c r="O209" s="7">
        <f t="shared" si="341"/>
        <v>0</v>
      </c>
      <c r="P209" s="7">
        <f t="shared" si="342"/>
        <v>0</v>
      </c>
      <c r="Q209" s="7">
        <f t="shared" si="343"/>
        <v>0</v>
      </c>
      <c r="R209" s="7">
        <f t="shared" si="339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333"/>
        <v>0</v>
      </c>
      <c r="H210" s="7"/>
      <c r="I210" s="7"/>
      <c r="J210" s="7"/>
      <c r="K210" s="7"/>
      <c r="L210" s="7">
        <f t="shared" si="334"/>
        <v>0</v>
      </c>
      <c r="N210" s="7">
        <f t="shared" si="340"/>
        <v>0</v>
      </c>
      <c r="O210" s="7">
        <f t="shared" si="341"/>
        <v>0</v>
      </c>
      <c r="P210" s="7">
        <f t="shared" si="342"/>
        <v>0</v>
      </c>
      <c r="Q210" s="7">
        <f t="shared" si="343"/>
        <v>0</v>
      </c>
      <c r="R210" s="7">
        <f t="shared" si="339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333"/>
        <v>0</v>
      </c>
      <c r="H211" s="7"/>
      <c r="I211" s="7"/>
      <c r="J211" s="7"/>
      <c r="K211" s="7"/>
      <c r="L211" s="7">
        <f t="shared" si="334"/>
        <v>0</v>
      </c>
      <c r="N211" s="7">
        <f t="shared" si="340"/>
        <v>0</v>
      </c>
      <c r="O211" s="7">
        <f t="shared" si="341"/>
        <v>0</v>
      </c>
      <c r="P211" s="7">
        <f t="shared" si="342"/>
        <v>0</v>
      </c>
      <c r="Q211" s="7">
        <f t="shared" si="343"/>
        <v>0</v>
      </c>
      <c r="R211" s="7">
        <f t="shared" si="339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333"/>
        <v>0</v>
      </c>
      <c r="H212" s="7"/>
      <c r="I212" s="7"/>
      <c r="J212" s="7"/>
      <c r="K212" s="7"/>
      <c r="L212" s="7">
        <f t="shared" si="334"/>
        <v>0</v>
      </c>
      <c r="N212" s="7">
        <f t="shared" si="340"/>
        <v>0</v>
      </c>
      <c r="O212" s="7">
        <f t="shared" si="341"/>
        <v>0</v>
      </c>
      <c r="P212" s="7">
        <f t="shared" si="342"/>
        <v>0</v>
      </c>
      <c r="Q212" s="7">
        <f t="shared" si="343"/>
        <v>0</v>
      </c>
      <c r="R212" s="7">
        <f t="shared" si="339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333"/>
        <v>0</v>
      </c>
      <c r="H213" s="7"/>
      <c r="I213" s="7"/>
      <c r="J213" s="7"/>
      <c r="K213" s="7"/>
      <c r="L213" s="7">
        <f t="shared" si="334"/>
        <v>0</v>
      </c>
      <c r="N213" s="7">
        <f t="shared" si="340"/>
        <v>0</v>
      </c>
      <c r="O213" s="7">
        <f t="shared" si="341"/>
        <v>0</v>
      </c>
      <c r="P213" s="7">
        <f t="shared" si="342"/>
        <v>0</v>
      </c>
      <c r="Q213" s="7">
        <f t="shared" si="343"/>
        <v>0</v>
      </c>
      <c r="R213" s="7">
        <f t="shared" si="339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333"/>
        <v>0</v>
      </c>
      <c r="H214" s="7"/>
      <c r="I214" s="7"/>
      <c r="J214" s="7"/>
      <c r="K214" s="7"/>
      <c r="L214" s="7">
        <f t="shared" si="334"/>
        <v>0</v>
      </c>
      <c r="N214" s="7">
        <f t="shared" si="340"/>
        <v>0</v>
      </c>
      <c r="O214" s="7">
        <f t="shared" si="341"/>
        <v>0</v>
      </c>
      <c r="P214" s="7">
        <f t="shared" si="342"/>
        <v>0</v>
      </c>
      <c r="Q214" s="7">
        <f t="shared" si="343"/>
        <v>0</v>
      </c>
      <c r="R214" s="7">
        <f t="shared" si="339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333"/>
        <v>0</v>
      </c>
      <c r="H215" s="7">
        <v>0</v>
      </c>
      <c r="I215" s="7">
        <v>0</v>
      </c>
      <c r="J215" s="7"/>
      <c r="K215" s="7"/>
      <c r="L215" s="7">
        <f t="shared" si="334"/>
        <v>0</v>
      </c>
      <c r="N215" s="7">
        <f t="shared" si="340"/>
        <v>0</v>
      </c>
      <c r="O215" s="7">
        <f t="shared" si="341"/>
        <v>0</v>
      </c>
      <c r="P215" s="7">
        <f t="shared" si="342"/>
        <v>0</v>
      </c>
      <c r="Q215" s="7">
        <f t="shared" si="343"/>
        <v>0</v>
      </c>
      <c r="R215" s="7">
        <f t="shared" si="339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333"/>
        <v>0</v>
      </c>
      <c r="H216" s="7"/>
      <c r="I216" s="7"/>
      <c r="J216" s="7"/>
      <c r="K216" s="7"/>
      <c r="L216" s="7">
        <f t="shared" si="334"/>
        <v>0</v>
      </c>
      <c r="N216" s="7">
        <f t="shared" si="340"/>
        <v>0</v>
      </c>
      <c r="O216" s="7">
        <f t="shared" si="341"/>
        <v>0</v>
      </c>
      <c r="P216" s="7">
        <f t="shared" si="342"/>
        <v>0</v>
      </c>
      <c r="Q216" s="7">
        <f t="shared" si="343"/>
        <v>0</v>
      </c>
      <c r="R216" s="7">
        <f t="shared" si="339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340"/>
        <v>0</v>
      </c>
      <c r="O217" s="7">
        <f t="shared" si="341"/>
        <v>0</v>
      </c>
      <c r="P217" s="7">
        <f t="shared" si="342"/>
        <v>0</v>
      </c>
      <c r="Q217" s="7">
        <f t="shared" si="343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633770.22399436031</v>
      </c>
      <c r="C218" s="149">
        <f t="shared" ref="C218" si="344">C87-C205-C207-C208-C214-C215</f>
        <v>-247884.54604999995</v>
      </c>
      <c r="D218" s="149">
        <f>D87-D205-D207-D208-D214-D215</f>
        <v>-227811.36057500006</v>
      </c>
      <c r="E218" s="149">
        <f t="shared" ref="E218:F218" si="345">E87-E205-E207-E208-E214-E215</f>
        <v>-25441.562500000007</v>
      </c>
      <c r="F218" s="149">
        <f t="shared" si="345"/>
        <v>138982.75486936048</v>
      </c>
      <c r="H218" s="149">
        <f>H87-H205-H207-H208-H214-H215</f>
        <v>653893.44081800058</v>
      </c>
      <c r="I218" s="149">
        <f t="shared" ref="I218" si="346">I87-I205-I207-I208-I214-I215</f>
        <v>-126657.5</v>
      </c>
      <c r="J218" s="149">
        <f>J87-J205-J207-J208-J214-J215</f>
        <v>-358331.72</v>
      </c>
      <c r="K218" s="149">
        <f t="shared" ref="K218:L218" si="347">K87-K205-K207-K208-K214-K215</f>
        <v>-38320.224999999977</v>
      </c>
      <c r="L218" s="149">
        <f t="shared" si="347"/>
        <v>133433.99581800029</v>
      </c>
      <c r="N218" s="149">
        <f>N87-N205-N207-N208-N214-N215</f>
        <v>1287663.6648123609</v>
      </c>
      <c r="O218" s="149">
        <f t="shared" ref="O218" si="348">O87-O205-O207-O208-O214-O215</f>
        <v>-374542.04604999989</v>
      </c>
      <c r="P218" s="149">
        <f>P87-P205-P207-P208-P214-P215</f>
        <v>-586143.08057500003</v>
      </c>
      <c r="Q218" s="149">
        <f t="shared" ref="Q218:R218" si="349">Q87-Q205-Q207-Q208-Q214-Q215</f>
        <v>-63761.787500000035</v>
      </c>
      <c r="R218" s="149">
        <f t="shared" si="349"/>
        <v>263216.75068736076</v>
      </c>
    </row>
    <row r="219" spans="1:18" ht="15" thickBot="1" x14ac:dyDescent="0.4">
      <c r="A219" s="108"/>
      <c r="B219" s="110">
        <f>B218/(B87-B77)</f>
        <v>8.8193414544436979E-2</v>
      </c>
      <c r="C219" s="110">
        <f t="shared" ref="C219" si="350">C218/(C87-C77)</f>
        <v>-3.8564446007965394</v>
      </c>
      <c r="D219" s="110">
        <f>D218/(D87-D77)</f>
        <v>-0.4979222086163787</v>
      </c>
      <c r="E219" s="110">
        <f>E218/(E87)</f>
        <v>-0.40545614999681273</v>
      </c>
      <c r="F219" s="110">
        <f t="shared" ref="F219" si="351">F218/(F87-F77)</f>
        <v>1.8031110621922228E-2</v>
      </c>
      <c r="H219" s="110">
        <f>H218/(H87-H77)</f>
        <v>0.16659875280716252</v>
      </c>
      <c r="I219" s="110" t="e">
        <f t="shared" ref="I219" si="352">I218/(I87-I77)</f>
        <v>#DIV/0!</v>
      </c>
      <c r="J219" s="110">
        <f>J218/(J87-J77)</f>
        <v>-4.0786254780549989</v>
      </c>
      <c r="K219" s="110">
        <f>K218/(K87)</f>
        <v>-0.20329463224683794</v>
      </c>
      <c r="L219" s="110">
        <f t="shared" ref="L219" si="353">L218/(L87-L77)</f>
        <v>3.3251959675699133E-2</v>
      </c>
      <c r="N219" s="110">
        <f>N218/(N87-N77)</f>
        <v>0.1158898457229582</v>
      </c>
      <c r="O219" s="110">
        <f t="shared" ref="O219" si="354">O218/(O87-O77)</f>
        <v>-5.8269088342823343</v>
      </c>
      <c r="P219" s="110">
        <f>P218/(P87-P77)</f>
        <v>-1.074742529199824</v>
      </c>
      <c r="Q219" s="110">
        <f>Q218/(Q87)</f>
        <v>-0.25378431922752392</v>
      </c>
      <c r="R219" s="110">
        <f t="shared" ref="R219" si="355">R218/(R87-R77)</f>
        <v>2.2457314679422677E-2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24</v>
      </c>
      <c r="B221" s="174" t="str">
        <f>B1</f>
        <v>Operating</v>
      </c>
      <c r="C221" s="174" t="str">
        <f t="shared" ref="C221" si="356">C1</f>
        <v>Weights</v>
      </c>
      <c r="D221" s="174" t="str">
        <f>D1</f>
        <v>SPED</v>
      </c>
      <c r="E221" s="174" t="str">
        <f t="shared" ref="E221:F221" si="357">E1</f>
        <v>NSLP</v>
      </c>
      <c r="F221" s="174" t="str">
        <f t="shared" si="357"/>
        <v>Mt. Rose</v>
      </c>
      <c r="H221" s="174" t="str">
        <f>H1</f>
        <v>Operating</v>
      </c>
      <c r="I221" s="174" t="str">
        <f t="shared" ref="I221" si="358">I1</f>
        <v>Weights</v>
      </c>
      <c r="J221" s="174" t="str">
        <f>J1</f>
        <v>SPED</v>
      </c>
      <c r="K221" s="174" t="str">
        <f t="shared" ref="K221:L221" si="359">K1</f>
        <v>NSLP</v>
      </c>
      <c r="L221" s="174" t="str">
        <f t="shared" si="359"/>
        <v>New Campus</v>
      </c>
      <c r="N221" s="174" t="str">
        <f>N1</f>
        <v>Operating</v>
      </c>
      <c r="O221" s="174" t="str">
        <f t="shared" ref="O221" si="360">O1</f>
        <v>Weights</v>
      </c>
      <c r="P221" s="174" t="str">
        <f>P1</f>
        <v>SPED</v>
      </c>
      <c r="Q221" s="174" t="str">
        <f t="shared" ref="Q221:R221" si="361">Q1</f>
        <v>NSLP</v>
      </c>
      <c r="R221" s="174" t="str">
        <f t="shared" si="361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2"/>
  <sheetViews>
    <sheetView topLeftCell="A179" zoomScale="75" zoomScaleNormal="75" workbookViewId="0">
      <pane xSplit="1" topLeftCell="B1" activePane="topRight" state="frozen"/>
      <selection activeCell="A131" sqref="A131"/>
      <selection pane="topRight" activeCell="K198" sqref="K198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256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7309</v>
      </c>
      <c r="C2" s="7">
        <v>0</v>
      </c>
      <c r="D2" s="7">
        <v>0</v>
      </c>
      <c r="E2" s="7">
        <v>0</v>
      </c>
      <c r="F2" s="7">
        <f>SUM(B2:E2)</f>
        <v>7309</v>
      </c>
      <c r="H2" s="7">
        <v>7309</v>
      </c>
      <c r="I2" s="7">
        <v>0</v>
      </c>
      <c r="J2" s="7">
        <v>0</v>
      </c>
      <c r="K2" s="7">
        <v>0</v>
      </c>
      <c r="L2" s="7">
        <f>SUM(H2:K2)</f>
        <v>7309</v>
      </c>
      <c r="N2" s="7">
        <f>H2</f>
        <v>7309</v>
      </c>
      <c r="O2" s="7">
        <v>0</v>
      </c>
      <c r="P2" s="7">
        <v>0</v>
      </c>
      <c r="Q2" s="7">
        <v>0</v>
      </c>
      <c r="R2" s="7">
        <f>SUM(N2:Q2)</f>
        <v>7309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721</v>
      </c>
      <c r="I5" s="9"/>
      <c r="J5" s="9"/>
      <c r="K5" s="9"/>
      <c r="L5" s="9">
        <f t="shared" ref="L5:L19" si="1">SUM(H5:K5)</f>
        <v>721</v>
      </c>
      <c r="N5" s="9">
        <f>N6+N7+N8+N9+N10+N11+N12+N13+N14+N15+N16+N17+N18</f>
        <v>1717</v>
      </c>
      <c r="O5" s="9"/>
      <c r="P5" s="9"/>
      <c r="Q5" s="9"/>
      <c r="R5" s="9">
        <f t="shared" ref="R5:R19" si="2">SUM(N5:Q5)</f>
        <v>1717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27*3</f>
        <v>81</v>
      </c>
      <c r="I11" s="11"/>
      <c r="J11" s="11"/>
      <c r="K11" s="11"/>
      <c r="L11" s="9">
        <f t="shared" si="1"/>
        <v>81</v>
      </c>
      <c r="M11" s="187">
        <v>3</v>
      </c>
      <c r="N11" s="7">
        <f t="shared" si="3"/>
        <v>189</v>
      </c>
      <c r="O11" s="11"/>
      <c r="P11" s="11"/>
      <c r="Q11" s="11"/>
      <c r="R11" s="9">
        <f t="shared" si="2"/>
        <v>189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v>0</v>
      </c>
      <c r="I13" s="7"/>
      <c r="J13" s="7"/>
      <c r="K13" s="7"/>
      <c r="L13" s="9">
        <f t="shared" si="1"/>
        <v>0</v>
      </c>
      <c r="N13" s="7">
        <f t="shared" si="3"/>
        <v>124</v>
      </c>
      <c r="O13" s="7"/>
      <c r="P13" s="7"/>
      <c r="Q13" s="7"/>
      <c r="R13" s="9">
        <f t="shared" si="2"/>
        <v>124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v>0</v>
      </c>
      <c r="I14" s="7"/>
      <c r="J14" s="7"/>
      <c r="K14" s="7"/>
      <c r="L14" s="9">
        <f t="shared" si="1"/>
        <v>0</v>
      </c>
      <c r="N14" s="7">
        <f t="shared" si="3"/>
        <v>124</v>
      </c>
      <c r="O14" s="7"/>
      <c r="P14" s="7"/>
      <c r="Q14" s="7"/>
      <c r="R14" s="9">
        <f t="shared" si="2"/>
        <v>124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721</v>
      </c>
      <c r="I19" s="9"/>
      <c r="J19" s="9"/>
      <c r="K19" s="9"/>
      <c r="L19" s="9">
        <f t="shared" si="1"/>
        <v>721</v>
      </c>
      <c r="M19" s="188">
        <f>L19*0.11</f>
        <v>79.31</v>
      </c>
      <c r="N19" s="9">
        <f>SUM(N6:N18)</f>
        <v>1717</v>
      </c>
      <c r="O19" s="9"/>
      <c r="P19" s="9"/>
      <c r="Q19" s="9"/>
      <c r="R19" s="9">
        <f t="shared" si="2"/>
        <v>1717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544*0.17</f>
        <v>92.48</v>
      </c>
      <c r="K22" s="7"/>
      <c r="L22" s="7">
        <f t="shared" ref="L22:L27" si="5">SUM(H22:K22)</f>
        <v>92.48</v>
      </c>
      <c r="N22" s="190">
        <f>B22+H22</f>
        <v>0</v>
      </c>
      <c r="O22" s="190">
        <f t="shared" ref="O22:Q24" si="6">C22+I22</f>
        <v>0</v>
      </c>
      <c r="P22" s="190">
        <f t="shared" si="6"/>
        <v>200.48000000000002</v>
      </c>
      <c r="Q22" s="190">
        <f t="shared" si="6"/>
        <v>0</v>
      </c>
      <c r="R22" s="7">
        <f t="shared" ref="R22:R27" si="7">SUM(N22:Q22)</f>
        <v>200.48000000000002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544*0.2</f>
        <v>108.80000000000001</v>
      </c>
      <c r="J23" s="7"/>
      <c r="K23" s="7"/>
      <c r="L23" s="7">
        <f t="shared" si="5"/>
        <v>108.80000000000001</v>
      </c>
      <c r="M23" s="201">
        <v>0.3</v>
      </c>
      <c r="N23" s="190">
        <f t="shared" ref="N23:N24" si="8">B23+H23</f>
        <v>0</v>
      </c>
      <c r="O23" s="7">
        <f t="shared" si="6"/>
        <v>111.80000000000001</v>
      </c>
      <c r="P23" s="190">
        <f t="shared" si="6"/>
        <v>0</v>
      </c>
      <c r="Q23" s="190">
        <f t="shared" si="6"/>
        <v>0</v>
      </c>
      <c r="R23" s="7">
        <f t="shared" si="7"/>
        <v>111.80000000000001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20</v>
      </c>
      <c r="J24" s="19"/>
      <c r="K24" s="7"/>
      <c r="L24" s="7">
        <f t="shared" si="5"/>
        <v>20</v>
      </c>
      <c r="N24" s="190">
        <f t="shared" si="8"/>
        <v>0</v>
      </c>
      <c r="O24" s="7">
        <f t="shared" si="6"/>
        <v>73</v>
      </c>
      <c r="P24" s="190">
        <f t="shared" si="6"/>
        <v>0</v>
      </c>
      <c r="Q24" s="190">
        <f t="shared" si="6"/>
        <v>0</v>
      </c>
      <c r="R24" s="7">
        <f t="shared" si="7"/>
        <v>73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0.28896330809551546</v>
      </c>
      <c r="R25" s="19">
        <f t="shared" si="7"/>
        <v>0.28896330809551546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(544*0.6)-I23-(J22*0.5)</f>
        <v>171.35999999999996</v>
      </c>
      <c r="J26" s="7"/>
      <c r="K26" s="7"/>
      <c r="L26" s="7">
        <f t="shared" si="5"/>
        <v>171.35999999999996</v>
      </c>
      <c r="N26" s="190">
        <f>B26+H26</f>
        <v>0</v>
      </c>
      <c r="O26" s="190">
        <f t="shared" ref="O26:Q26" si="9">C26+I26</f>
        <v>226.35999999999996</v>
      </c>
      <c r="P26" s="190">
        <f t="shared" si="9"/>
        <v>0</v>
      </c>
      <c r="Q26" s="190">
        <f t="shared" si="9"/>
        <v>0</v>
      </c>
      <c r="R26" s="7">
        <f t="shared" si="7"/>
        <v>226.35999999999996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27</v>
      </c>
      <c r="I29" s="23"/>
      <c r="J29" s="23"/>
      <c r="K29" s="23"/>
      <c r="L29" s="23">
        <f t="shared" ref="L29:L38" si="11">SUM(H29:K29)</f>
        <v>27</v>
      </c>
      <c r="M29" s="188">
        <f>L29/6</f>
        <v>4.5</v>
      </c>
      <c r="N29" s="190">
        <f>B29+H29</f>
        <v>63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63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4</v>
      </c>
      <c r="K30" s="26"/>
      <c r="L30" s="23">
        <f t="shared" si="11"/>
        <v>4</v>
      </c>
      <c r="M30" s="188">
        <f>J22/23</f>
        <v>4.0208695652173914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7.5</v>
      </c>
      <c r="Q30" s="190">
        <f t="shared" si="12"/>
        <v>0</v>
      </c>
      <c r="R30" s="23">
        <f t="shared" si="13"/>
        <v>7.5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1</v>
      </c>
      <c r="I31" s="23"/>
      <c r="J31" s="23"/>
      <c r="K31" s="23"/>
      <c r="L31" s="23">
        <f t="shared" si="11"/>
        <v>1</v>
      </c>
      <c r="N31" s="190">
        <f t="shared" si="14"/>
        <v>3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3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31</v>
      </c>
      <c r="I39" s="30">
        <f t="shared" ref="I39:L39" si="16">SUM(I29:I38)</f>
        <v>0</v>
      </c>
      <c r="J39" s="30">
        <f t="shared" si="16"/>
        <v>4</v>
      </c>
      <c r="K39" s="30">
        <f t="shared" si="16"/>
        <v>0</v>
      </c>
      <c r="L39" s="30">
        <f t="shared" si="16"/>
        <v>35</v>
      </c>
      <c r="N39" s="30">
        <f>SUM(N29:N38)</f>
        <v>73</v>
      </c>
      <c r="O39" s="30">
        <f t="shared" ref="O39:R39" si="17">SUM(O29:O38)</f>
        <v>0</v>
      </c>
      <c r="P39" s="30">
        <f t="shared" si="17"/>
        <v>7.5</v>
      </c>
      <c r="Q39" s="30">
        <f t="shared" si="17"/>
        <v>0</v>
      </c>
      <c r="R39" s="30">
        <f t="shared" si="17"/>
        <v>80.5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1</v>
      </c>
      <c r="I43" s="23"/>
      <c r="J43" s="23"/>
      <c r="K43" s="23"/>
      <c r="L43" s="23">
        <f t="shared" si="19"/>
        <v>1</v>
      </c>
      <c r="N43" s="190">
        <f t="shared" ref="N43:Q62" si="22">B43+H43</f>
        <v>3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3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0</v>
      </c>
      <c r="J46" s="23"/>
      <c r="K46" s="23"/>
      <c r="L46" s="23">
        <f t="shared" si="19"/>
        <v>0</v>
      </c>
      <c r="N46" s="190">
        <f t="shared" si="22"/>
        <v>1</v>
      </c>
      <c r="O46" s="190">
        <f t="shared" si="20"/>
        <v>0</v>
      </c>
      <c r="P46" s="190">
        <f t="shared" si="20"/>
        <v>0</v>
      </c>
      <c r="Q46" s="190">
        <f t="shared" si="20"/>
        <v>0</v>
      </c>
      <c r="R46" s="23">
        <f t="shared" si="21"/>
        <v>1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/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2.5</v>
      </c>
      <c r="J52" s="158">
        <v>2.5</v>
      </c>
      <c r="K52" s="158"/>
      <c r="L52" s="23">
        <f t="shared" si="19"/>
        <v>5</v>
      </c>
      <c r="N52" s="190">
        <f t="shared" si="22"/>
        <v>0</v>
      </c>
      <c r="O52" s="190">
        <f t="shared" si="20"/>
        <v>6.5</v>
      </c>
      <c r="P52" s="190">
        <f t="shared" si="20"/>
        <v>5.5</v>
      </c>
      <c r="Q52" s="190">
        <f t="shared" si="20"/>
        <v>0</v>
      </c>
      <c r="R52" s="23">
        <f t="shared" si="21"/>
        <v>12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0.5</v>
      </c>
      <c r="J61" s="157"/>
      <c r="K61" s="157"/>
      <c r="L61" s="23">
        <f t="shared" si="19"/>
        <v>0.5</v>
      </c>
      <c r="N61" s="190">
        <f t="shared" si="22"/>
        <v>0</v>
      </c>
      <c r="O61" s="190">
        <f t="shared" si="22"/>
        <v>1.5</v>
      </c>
      <c r="P61" s="190">
        <f t="shared" si="22"/>
        <v>0</v>
      </c>
      <c r="Q61" s="190">
        <f t="shared" si="22"/>
        <v>0</v>
      </c>
      <c r="R61" s="23">
        <f t="shared" si="21"/>
        <v>1.5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8</v>
      </c>
      <c r="I63" s="30">
        <f t="shared" ref="I63:L63" si="24">SUM(I42:I61)</f>
        <v>4</v>
      </c>
      <c r="J63" s="30">
        <f t="shared" si="24"/>
        <v>2.5</v>
      </c>
      <c r="K63" s="30">
        <f t="shared" si="24"/>
        <v>1</v>
      </c>
      <c r="L63" s="30">
        <f t="shared" si="24"/>
        <v>15.5</v>
      </c>
      <c r="N63" s="30">
        <f>SUM(N42:N61)</f>
        <v>20</v>
      </c>
      <c r="O63" s="30">
        <f t="shared" ref="O63:R63" si="25">SUM(O42:O61)</f>
        <v>9</v>
      </c>
      <c r="P63" s="30">
        <f t="shared" si="25"/>
        <v>6.5</v>
      </c>
      <c r="Q63" s="30">
        <f t="shared" si="25"/>
        <v>2</v>
      </c>
      <c r="R63" s="30">
        <f t="shared" si="25"/>
        <v>37.5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31</v>
      </c>
      <c r="I65" s="39">
        <f>I61</f>
        <v>0.5</v>
      </c>
      <c r="J65" s="39">
        <f>J39</f>
        <v>4</v>
      </c>
      <c r="K65" s="39">
        <f t="shared" ref="K65" si="27">K39</f>
        <v>0</v>
      </c>
      <c r="L65" s="39">
        <f>L39</f>
        <v>35</v>
      </c>
      <c r="N65" s="39">
        <f>N39</f>
        <v>73</v>
      </c>
      <c r="O65" s="39">
        <f>O61</f>
        <v>1.5</v>
      </c>
      <c r="P65" s="39">
        <f>P39</f>
        <v>7.5</v>
      </c>
      <c r="Q65" s="39">
        <f t="shared" ref="Q65" si="28">Q39</f>
        <v>0</v>
      </c>
      <c r="R65" s="39">
        <f>R39</f>
        <v>80.5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8</v>
      </c>
      <c r="I66" s="42">
        <f>I63</f>
        <v>4</v>
      </c>
      <c r="J66" s="42">
        <f>J63</f>
        <v>2.5</v>
      </c>
      <c r="K66" s="42">
        <f t="shared" ref="K66:L66" si="30">K63</f>
        <v>1</v>
      </c>
      <c r="L66" s="42">
        <f t="shared" si="30"/>
        <v>15.5</v>
      </c>
      <c r="N66" s="42">
        <f>N63</f>
        <v>20</v>
      </c>
      <c r="O66" s="42">
        <f>O63</f>
        <v>9</v>
      </c>
      <c r="P66" s="42">
        <f>P63</f>
        <v>6.5</v>
      </c>
      <c r="Q66" s="42">
        <f t="shared" ref="Q66:R66" si="31">Q63</f>
        <v>2</v>
      </c>
      <c r="R66" s="42">
        <f t="shared" si="31"/>
        <v>37.5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39</v>
      </c>
      <c r="I67" s="44">
        <f t="shared" ref="I67" si="34">SUM(I65:I66)</f>
        <v>4.5</v>
      </c>
      <c r="J67" s="44">
        <f>SUM(J65:J66)</f>
        <v>6.5</v>
      </c>
      <c r="K67" s="44">
        <f t="shared" ref="K67:L67" si="35">SUM(K65:K66)</f>
        <v>1</v>
      </c>
      <c r="L67" s="44">
        <f t="shared" si="35"/>
        <v>50.5</v>
      </c>
      <c r="N67" s="44">
        <f>SUM(N65:N66)</f>
        <v>93</v>
      </c>
      <c r="O67" s="44">
        <f t="shared" ref="O67" si="36">SUM(O65:O66)</f>
        <v>10.5</v>
      </c>
      <c r="P67" s="44">
        <f>SUM(P65:P66)</f>
        <v>14</v>
      </c>
      <c r="Q67" s="44">
        <f t="shared" ref="Q67:R67" si="37">SUM(Q65:Q66)</f>
        <v>2</v>
      </c>
      <c r="R67" s="44">
        <f t="shared" si="37"/>
        <v>118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0.61726521231941422</v>
      </c>
      <c r="H69" s="47"/>
      <c r="I69" s="47"/>
      <c r="J69" s="47"/>
      <c r="K69" s="47"/>
      <c r="L69" s="47">
        <f t="shared" ref="L69" si="39">L138/(SUM(L205:L215))</f>
        <v>0.56361265119540449</v>
      </c>
      <c r="N69" s="47"/>
      <c r="O69" s="47"/>
      <c r="P69" s="47"/>
      <c r="Q69" s="47"/>
      <c r="R69" s="47">
        <f t="shared" ref="R69" si="40">R138/(SUM(R205:R215))</f>
        <v>0.59444634516907147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0.73579009703567122</v>
      </c>
      <c r="H70" s="49"/>
      <c r="I70" s="49"/>
      <c r="J70" s="49"/>
      <c r="K70" s="49"/>
      <c r="L70" s="49">
        <f t="shared" ref="L70" si="42">(L109+L110+L111+L114)/L130</f>
        <v>0.77348985079799293</v>
      </c>
      <c r="N70" s="49"/>
      <c r="O70" s="49"/>
      <c r="P70" s="49"/>
      <c r="Q70" s="49"/>
      <c r="R70" s="49">
        <f t="shared" ref="R70" si="43">(R109+R110+R111+R114)/R130</f>
        <v>0.75120427304781467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0.26420990296432889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0.22651014920200718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0.24879572695218544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0.14323575460932245</v>
      </c>
      <c r="H72" s="53"/>
      <c r="I72" s="53"/>
      <c r="J72" s="53"/>
      <c r="K72" s="53"/>
      <c r="L72" s="53">
        <f t="shared" ref="L72" si="48">SUM(L207:L215)/L87</f>
        <v>0.14801897740783554</v>
      </c>
      <c r="N72" s="53"/>
      <c r="O72" s="53"/>
      <c r="P72" s="53"/>
      <c r="Q72" s="53"/>
      <c r="R72" s="53">
        <f t="shared" ref="R72" si="49">SUM(R207:R215)/R87</f>
        <v>0.14532291704273581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7279764</v>
      </c>
      <c r="C75" s="7">
        <f t="shared" ref="C75" si="56">(C2*C5)*0.95</f>
        <v>0</v>
      </c>
      <c r="D75" s="7"/>
      <c r="E75" s="7"/>
      <c r="F75" s="7">
        <f t="shared" ref="F75:F86" si="57">SUM(B75:E75)</f>
        <v>7279764</v>
      </c>
      <c r="H75" s="7">
        <f>(H2*H5)</f>
        <v>5269789</v>
      </c>
      <c r="I75" s="7">
        <f t="shared" ref="I75" si="58">(I2*I5)*0.95</f>
        <v>0</v>
      </c>
      <c r="J75" s="7"/>
      <c r="K75" s="7"/>
      <c r="L75" s="7">
        <f t="shared" ref="L75:L86" si="59">SUM(H75:K75)</f>
        <v>5269789</v>
      </c>
      <c r="N75" s="7">
        <f>B75+H75</f>
        <v>12549553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12549553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(H19*K25)*3.45*180</f>
        <v>246257.55000000002</v>
      </c>
      <c r="L77" s="7">
        <f t="shared" si="59"/>
        <v>246257.55000000002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309005.55000000005</v>
      </c>
      <c r="R77" s="7">
        <f t="shared" si="61"/>
        <v>309005.55000000005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87856</v>
      </c>
      <c r="K78" s="7"/>
      <c r="L78" s="7">
        <f t="shared" si="59"/>
        <v>87856</v>
      </c>
      <c r="N78" s="7">
        <f t="shared" si="64"/>
        <v>0</v>
      </c>
      <c r="O78" s="7">
        <f t="shared" si="60"/>
        <v>0</v>
      </c>
      <c r="P78" s="7">
        <f t="shared" si="60"/>
        <v>190456</v>
      </c>
      <c r="Q78" s="7">
        <f t="shared" si="60"/>
        <v>0</v>
      </c>
      <c r="R78" s="7">
        <f t="shared" si="61"/>
        <v>190456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2500*D22</f>
        <v>270000</v>
      </c>
      <c r="E79" s="37"/>
      <c r="F79" s="7">
        <f t="shared" si="57"/>
        <v>270000</v>
      </c>
      <c r="H79" s="37">
        <f>3200*H22</f>
        <v>0</v>
      </c>
      <c r="I79" s="37">
        <f t="shared" ref="I79" si="70">3200*I22</f>
        <v>0</v>
      </c>
      <c r="J79" s="37">
        <f>2500*J22</f>
        <v>231200</v>
      </c>
      <c r="K79" s="37"/>
      <c r="L79" s="7">
        <f t="shared" si="59"/>
        <v>231200</v>
      </c>
      <c r="N79" s="7">
        <f t="shared" si="64"/>
        <v>0</v>
      </c>
      <c r="O79" s="7">
        <f t="shared" si="60"/>
        <v>0</v>
      </c>
      <c r="P79" s="7">
        <f t="shared" si="60"/>
        <v>501200</v>
      </c>
      <c r="Q79" s="7">
        <f t="shared" si="60"/>
        <v>0</v>
      </c>
      <c r="R79" s="7">
        <f t="shared" si="61"/>
        <v>501200</v>
      </c>
    </row>
    <row r="80" spans="1:18" x14ac:dyDescent="0.35">
      <c r="A80" s="63" t="s">
        <v>213</v>
      </c>
      <c r="B80" s="37">
        <f>1400*B23</f>
        <v>0</v>
      </c>
      <c r="C80" s="37">
        <f>1696*C23</f>
        <v>5088</v>
      </c>
      <c r="D80" s="37"/>
      <c r="E80" s="37"/>
      <c r="F80" s="7">
        <f t="shared" si="57"/>
        <v>5088</v>
      </c>
      <c r="H80" s="37">
        <f>1400*H23</f>
        <v>0</v>
      </c>
      <c r="I80" s="37">
        <f>1696*I23</f>
        <v>184524.80000000002</v>
      </c>
      <c r="J80" s="37"/>
      <c r="K80" s="37"/>
      <c r="L80" s="7">
        <f t="shared" si="59"/>
        <v>184524.80000000002</v>
      </c>
      <c r="N80" s="7">
        <f t="shared" si="64"/>
        <v>0</v>
      </c>
      <c r="O80" s="7">
        <f t="shared" si="60"/>
        <v>189612.80000000002</v>
      </c>
      <c r="P80" s="7">
        <f t="shared" si="60"/>
        <v>0</v>
      </c>
      <c r="Q80" s="7">
        <f t="shared" si="60"/>
        <v>0</v>
      </c>
      <c r="R80" s="7">
        <f t="shared" si="61"/>
        <v>189612.80000000002</v>
      </c>
    </row>
    <row r="81" spans="1:18" x14ac:dyDescent="0.35">
      <c r="A81" s="63" t="s">
        <v>214</v>
      </c>
      <c r="B81" s="7">
        <f>830*B24</f>
        <v>0</v>
      </c>
      <c r="C81" s="7">
        <f>866*C24</f>
        <v>45898</v>
      </c>
      <c r="D81" s="7"/>
      <c r="E81" s="7"/>
      <c r="F81" s="7">
        <f t="shared" si="57"/>
        <v>45898</v>
      </c>
      <c r="H81" s="7">
        <f>830*H24</f>
        <v>0</v>
      </c>
      <c r="I81" s="7">
        <f>866*I24</f>
        <v>17320</v>
      </c>
      <c r="J81" s="7"/>
      <c r="K81" s="7"/>
      <c r="L81" s="7">
        <f t="shared" si="59"/>
        <v>17320</v>
      </c>
      <c r="N81" s="7">
        <f t="shared" si="64"/>
        <v>0</v>
      </c>
      <c r="O81" s="7">
        <f t="shared" si="60"/>
        <v>63218</v>
      </c>
      <c r="P81" s="7">
        <f t="shared" si="60"/>
        <v>0</v>
      </c>
      <c r="Q81" s="7">
        <f t="shared" si="60"/>
        <v>0</v>
      </c>
      <c r="R81" s="7">
        <f t="shared" si="61"/>
        <v>63218</v>
      </c>
    </row>
    <row r="82" spans="1:18" x14ac:dyDescent="0.35">
      <c r="A82" s="63" t="s">
        <v>215</v>
      </c>
      <c r="B82" s="7">
        <f>240*B26</f>
        <v>0</v>
      </c>
      <c r="C82" s="7">
        <f>253*C26</f>
        <v>13915</v>
      </c>
      <c r="D82" s="7"/>
      <c r="E82" s="7"/>
      <c r="F82" s="7">
        <f t="shared" si="57"/>
        <v>13915</v>
      </c>
      <c r="H82" s="7">
        <f>240*H26</f>
        <v>0</v>
      </c>
      <c r="I82" s="7">
        <f>253*I26</f>
        <v>43354.079999999987</v>
      </c>
      <c r="J82" s="7"/>
      <c r="K82" s="7"/>
      <c r="L82" s="7">
        <f t="shared" si="59"/>
        <v>43354.079999999987</v>
      </c>
      <c r="N82" s="7">
        <f t="shared" si="64"/>
        <v>0</v>
      </c>
      <c r="O82" s="7">
        <f t="shared" si="60"/>
        <v>57269.079999999987</v>
      </c>
      <c r="P82" s="7">
        <f t="shared" si="60"/>
        <v>0</v>
      </c>
      <c r="Q82" s="7">
        <f t="shared" si="60"/>
        <v>0</v>
      </c>
      <c r="R82" s="7">
        <f t="shared" si="61"/>
        <v>57269.079999999987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7279764</v>
      </c>
      <c r="C87" s="69">
        <f t="shared" ref="C87" si="71">SUM(C75:C86)</f>
        <v>64901</v>
      </c>
      <c r="D87" s="69">
        <f>SUM(D75:D86)</f>
        <v>446724</v>
      </c>
      <c r="E87" s="69">
        <f t="shared" ref="E87:F87" si="72">SUM(E75:E86)</f>
        <v>62748.000000000007</v>
      </c>
      <c r="F87" s="69">
        <f t="shared" si="72"/>
        <v>7854137</v>
      </c>
      <c r="G87" s="187">
        <f>F87/B19</f>
        <v>7885.6797188755017</v>
      </c>
      <c r="H87" s="69">
        <f>SUM(H75:H86)</f>
        <v>5269789</v>
      </c>
      <c r="I87" s="69">
        <f t="shared" ref="I87" si="73">SUM(I75:I86)</f>
        <v>245198.88</v>
      </c>
      <c r="J87" s="69">
        <f>SUM(J75:J86)</f>
        <v>319056</v>
      </c>
      <c r="K87" s="69">
        <f t="shared" ref="K87:L87" si="74">SUM(K75:K86)</f>
        <v>246257.55000000002</v>
      </c>
      <c r="L87" s="69">
        <f t="shared" si="74"/>
        <v>6080301.4299999997</v>
      </c>
      <c r="M87" s="187">
        <f>L87/H19</f>
        <v>8433.1503883495134</v>
      </c>
      <c r="N87" s="69">
        <f>SUM(N75:N86)</f>
        <v>12549553</v>
      </c>
      <c r="O87" s="69">
        <f t="shared" ref="O87" si="75">SUM(O75:O86)</f>
        <v>310099.88</v>
      </c>
      <c r="P87" s="69">
        <f>SUM(P75:P86)</f>
        <v>765780</v>
      </c>
      <c r="Q87" s="69">
        <f t="shared" ref="Q87:R87" si="76">SUM(Q75:Q86)</f>
        <v>309005.55000000005</v>
      </c>
      <c r="R87" s="69">
        <f t="shared" si="76"/>
        <v>13934438.430000002</v>
      </c>
    </row>
    <row r="88" spans="1:18" hidden="1" x14ac:dyDescent="0.35">
      <c r="A88" s="61" t="s">
        <v>211</v>
      </c>
      <c r="B88" s="62">
        <f>B2*B5</f>
        <v>7279764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7279764</v>
      </c>
      <c r="H88" s="62">
        <f>H2*H5</f>
        <v>5269789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5269789</v>
      </c>
      <c r="N88" s="62">
        <f>N2*N5</f>
        <v>12549553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12549553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246257.55000000002</v>
      </c>
      <c r="L90" s="62">
        <f t="shared" si="90"/>
        <v>246257.55000000002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309005.55000000005</v>
      </c>
      <c r="R90" s="62">
        <f t="shared" si="91"/>
        <v>309005.55000000005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87856</v>
      </c>
      <c r="K91" s="62">
        <f t="shared" si="90"/>
        <v>0</v>
      </c>
      <c r="L91" s="62">
        <f t="shared" si="90"/>
        <v>87856</v>
      </c>
      <c r="N91" s="62">
        <f t="shared" si="91"/>
        <v>0</v>
      </c>
      <c r="O91" s="62">
        <f t="shared" si="91"/>
        <v>0</v>
      </c>
      <c r="P91" s="62">
        <f t="shared" si="91"/>
        <v>190456</v>
      </c>
      <c r="Q91" s="62">
        <f t="shared" si="91"/>
        <v>0</v>
      </c>
      <c r="R91" s="62">
        <f t="shared" si="91"/>
        <v>190456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270000</v>
      </c>
      <c r="E92" s="62">
        <f t="shared" si="89"/>
        <v>0</v>
      </c>
      <c r="F92" s="62">
        <f t="shared" si="89"/>
        <v>270000</v>
      </c>
      <c r="H92" s="62">
        <f t="shared" si="90"/>
        <v>0</v>
      </c>
      <c r="I92" s="62">
        <f t="shared" si="90"/>
        <v>0</v>
      </c>
      <c r="J92" s="62">
        <f t="shared" si="90"/>
        <v>231200</v>
      </c>
      <c r="K92" s="62">
        <f t="shared" si="90"/>
        <v>0</v>
      </c>
      <c r="L92" s="62">
        <f t="shared" si="90"/>
        <v>231200</v>
      </c>
      <c r="N92" s="62">
        <f t="shared" si="91"/>
        <v>0</v>
      </c>
      <c r="O92" s="62">
        <f t="shared" si="91"/>
        <v>0</v>
      </c>
      <c r="P92" s="62">
        <f t="shared" si="91"/>
        <v>501200</v>
      </c>
      <c r="Q92" s="62">
        <f t="shared" si="91"/>
        <v>0</v>
      </c>
      <c r="R92" s="62">
        <f t="shared" si="91"/>
        <v>501200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5088</v>
      </c>
      <c r="D93" s="62">
        <f t="shared" si="89"/>
        <v>0</v>
      </c>
      <c r="E93" s="62">
        <f t="shared" si="89"/>
        <v>0</v>
      </c>
      <c r="F93" s="62">
        <f t="shared" si="89"/>
        <v>5088</v>
      </c>
      <c r="H93" s="62">
        <f t="shared" si="90"/>
        <v>0</v>
      </c>
      <c r="I93" s="62">
        <f t="shared" si="90"/>
        <v>184524.80000000002</v>
      </c>
      <c r="J93" s="62">
        <f t="shared" si="90"/>
        <v>0</v>
      </c>
      <c r="K93" s="62">
        <f t="shared" si="90"/>
        <v>0</v>
      </c>
      <c r="L93" s="62">
        <f t="shared" si="90"/>
        <v>184524.80000000002</v>
      </c>
      <c r="N93" s="62">
        <f t="shared" si="91"/>
        <v>0</v>
      </c>
      <c r="O93" s="62">
        <f t="shared" si="91"/>
        <v>189612.80000000002</v>
      </c>
      <c r="P93" s="62">
        <f t="shared" si="91"/>
        <v>0</v>
      </c>
      <c r="Q93" s="62">
        <f t="shared" si="91"/>
        <v>0</v>
      </c>
      <c r="R93" s="62">
        <f t="shared" si="91"/>
        <v>189612.80000000002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45898</v>
      </c>
      <c r="D94" s="62">
        <f t="shared" si="89"/>
        <v>0</v>
      </c>
      <c r="E94" s="62">
        <f t="shared" si="89"/>
        <v>0</v>
      </c>
      <c r="F94" s="62">
        <f t="shared" si="89"/>
        <v>45898</v>
      </c>
      <c r="H94" s="62">
        <f t="shared" si="90"/>
        <v>0</v>
      </c>
      <c r="I94" s="62">
        <f t="shared" si="90"/>
        <v>17320</v>
      </c>
      <c r="J94" s="62">
        <f t="shared" si="90"/>
        <v>0</v>
      </c>
      <c r="K94" s="62">
        <f t="shared" si="90"/>
        <v>0</v>
      </c>
      <c r="L94" s="62">
        <f t="shared" si="90"/>
        <v>17320</v>
      </c>
      <c r="N94" s="62">
        <f t="shared" si="91"/>
        <v>0</v>
      </c>
      <c r="O94" s="62">
        <f t="shared" si="91"/>
        <v>63218</v>
      </c>
      <c r="P94" s="62">
        <f t="shared" si="91"/>
        <v>0</v>
      </c>
      <c r="Q94" s="62">
        <f t="shared" si="91"/>
        <v>0</v>
      </c>
      <c r="R94" s="62">
        <f t="shared" si="91"/>
        <v>63218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13915</v>
      </c>
      <c r="D95" s="62">
        <f t="shared" si="89"/>
        <v>0</v>
      </c>
      <c r="E95" s="62">
        <f t="shared" si="89"/>
        <v>0</v>
      </c>
      <c r="F95" s="62">
        <f t="shared" si="89"/>
        <v>13915</v>
      </c>
      <c r="H95" s="62">
        <f t="shared" si="90"/>
        <v>0</v>
      </c>
      <c r="I95" s="62">
        <f t="shared" si="90"/>
        <v>43354.079999999987</v>
      </c>
      <c r="J95" s="62">
        <f t="shared" si="90"/>
        <v>0</v>
      </c>
      <c r="K95" s="62">
        <f t="shared" si="90"/>
        <v>0</v>
      </c>
      <c r="L95" s="62">
        <f t="shared" si="90"/>
        <v>43354.079999999987</v>
      </c>
      <c r="N95" s="62">
        <f t="shared" si="91"/>
        <v>0</v>
      </c>
      <c r="O95" s="62">
        <f t="shared" si="91"/>
        <v>57269.079999999987</v>
      </c>
      <c r="P95" s="62">
        <f t="shared" si="91"/>
        <v>0</v>
      </c>
      <c r="Q95" s="62">
        <f t="shared" si="91"/>
        <v>0</v>
      </c>
      <c r="R95" s="62">
        <f t="shared" si="91"/>
        <v>57269.079999999987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7279764</v>
      </c>
      <c r="C100" s="69">
        <f t="shared" ref="C100:E100" si="92">SUM(C88:C99)</f>
        <v>64901</v>
      </c>
      <c r="D100" s="69">
        <f t="shared" si="92"/>
        <v>446724</v>
      </c>
      <c r="E100" s="69">
        <f t="shared" si="92"/>
        <v>62748.000000000007</v>
      </c>
      <c r="F100" s="69">
        <f>SUM(F88:F89)</f>
        <v>7353888</v>
      </c>
      <c r="H100" s="69">
        <f>SUM(H88:H99)</f>
        <v>5269789</v>
      </c>
      <c r="I100" s="69">
        <f t="shared" ref="I100:K100" si="93">SUM(I88:I99)</f>
        <v>245198.88</v>
      </c>
      <c r="J100" s="69">
        <f t="shared" si="93"/>
        <v>319056</v>
      </c>
      <c r="K100" s="69">
        <f t="shared" si="93"/>
        <v>246257.55000000002</v>
      </c>
      <c r="L100" s="69">
        <f>SUM(L88:L89)</f>
        <v>5269789</v>
      </c>
      <c r="N100" s="69">
        <f>SUM(N88:N99)</f>
        <v>12549553</v>
      </c>
      <c r="O100" s="69">
        <f t="shared" ref="O100:Q100" si="94">SUM(O88:O99)</f>
        <v>310099.88</v>
      </c>
      <c r="P100" s="69">
        <f t="shared" si="94"/>
        <v>765780</v>
      </c>
      <c r="Q100" s="69">
        <f t="shared" si="94"/>
        <v>309005.55000000005</v>
      </c>
      <c r="R100" s="69">
        <f>SUM(R88:R89)</f>
        <v>12623677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'FY24'!B104*1.02</f>
        <v>118039.62239999999</v>
      </c>
      <c r="C104" s="7">
        <f>'FY24'!C104*1.02</f>
        <v>0</v>
      </c>
      <c r="D104" s="7"/>
      <c r="E104" s="7"/>
      <c r="F104" s="7">
        <f t="shared" ref="F104:F116" si="101">SUM(B104:E104)</f>
        <v>118039.62239999999</v>
      </c>
      <c r="H104" s="7">
        <f>100000*1.02</f>
        <v>102000</v>
      </c>
      <c r="I104" s="7"/>
      <c r="J104" s="7"/>
      <c r="K104" s="7"/>
      <c r="L104" s="7">
        <f t="shared" ref="L104:L116" si="102">SUM(H104:K104)</f>
        <v>102000</v>
      </c>
      <c r="N104" s="7">
        <f>B104+H104</f>
        <v>220039.62239999999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220039.62239999999</v>
      </c>
    </row>
    <row r="105" spans="1:18" x14ac:dyDescent="0.35">
      <c r="A105" s="63" t="s">
        <v>61</v>
      </c>
      <c r="B105" s="7">
        <f>'FY24'!B105*1.02</f>
        <v>158875.7916</v>
      </c>
      <c r="C105" s="7">
        <f>'FY24'!C105*1.02</f>
        <v>0</v>
      </c>
      <c r="D105" s="7"/>
      <c r="E105" s="7"/>
      <c r="F105" s="7">
        <f t="shared" si="101"/>
        <v>158875.7916</v>
      </c>
      <c r="H105" s="7">
        <f>(80000)</f>
        <v>80000</v>
      </c>
      <c r="I105" s="7"/>
      <c r="J105" s="7"/>
      <c r="K105" s="7"/>
      <c r="L105" s="7">
        <f t="shared" si="102"/>
        <v>80000</v>
      </c>
      <c r="N105" s="7">
        <f t="shared" ref="N105:N116" si="104">B105+H105</f>
        <v>238875.7916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238875.7916</v>
      </c>
    </row>
    <row r="106" spans="1:18" x14ac:dyDescent="0.35">
      <c r="A106" s="63" t="s">
        <v>33</v>
      </c>
      <c r="B106" s="7">
        <f>'FY24'!B106*1.02</f>
        <v>62181.586799999997</v>
      </c>
      <c r="C106" s="7">
        <f>'FY24'!C106*1.02</f>
        <v>0</v>
      </c>
      <c r="D106" s="7"/>
      <c r="E106" s="7"/>
      <c r="F106" s="7">
        <f t="shared" si="101"/>
        <v>62181.586799999997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62181.586799999997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62181.586799999997</v>
      </c>
    </row>
    <row r="107" spans="1:18" x14ac:dyDescent="0.35">
      <c r="A107" s="63" t="s">
        <v>408</v>
      </c>
      <c r="B107" s="7">
        <f>'FY24'!B107*1.02</f>
        <v>67451.212799999994</v>
      </c>
      <c r="C107" s="7">
        <f>'FY24'!C107*1.02</f>
        <v>0</v>
      </c>
      <c r="D107" s="7"/>
      <c r="E107" s="7"/>
      <c r="F107" s="7">
        <f t="shared" si="101"/>
        <v>67451.212799999994</v>
      </c>
      <c r="H107" s="7">
        <v>0</v>
      </c>
      <c r="I107" s="7">
        <f>55000*1.02</f>
        <v>56100</v>
      </c>
      <c r="J107" s="7"/>
      <c r="K107" s="7"/>
      <c r="L107" s="7">
        <f t="shared" si="102"/>
        <v>56100</v>
      </c>
      <c r="N107" s="7">
        <f t="shared" si="104"/>
        <v>67451.212799999994</v>
      </c>
      <c r="O107" s="7">
        <f t="shared" si="103"/>
        <v>56100</v>
      </c>
      <c r="P107" s="7">
        <f t="shared" si="103"/>
        <v>0</v>
      </c>
      <c r="Q107" s="7">
        <f t="shared" si="103"/>
        <v>0</v>
      </c>
      <c r="R107" s="7">
        <f t="shared" si="105"/>
        <v>123551.21279999999</v>
      </c>
    </row>
    <row r="108" spans="1:18" x14ac:dyDescent="0.35">
      <c r="A108" s="63" t="s">
        <v>63</v>
      </c>
      <c r="B108" s="7">
        <f>'FY24'!B108*1.02</f>
        <v>0</v>
      </c>
      <c r="C108" s="7">
        <f>'FY24'!C108*1.02</f>
        <v>70612.988400000002</v>
      </c>
      <c r="D108" s="7"/>
      <c r="E108" s="7"/>
      <c r="F108" s="7">
        <f t="shared" si="101"/>
        <v>70612.988400000002</v>
      </c>
      <c r="H108" s="7">
        <v>0</v>
      </c>
      <c r="I108" s="7">
        <v>0</v>
      </c>
      <c r="J108" s="7"/>
      <c r="K108" s="7"/>
      <c r="L108" s="7">
        <f t="shared" si="102"/>
        <v>0</v>
      </c>
      <c r="N108" s="7">
        <f t="shared" si="104"/>
        <v>0</v>
      </c>
      <c r="O108" s="7">
        <f t="shared" si="103"/>
        <v>70612.988400000002</v>
      </c>
      <c r="P108" s="7">
        <f t="shared" si="103"/>
        <v>0</v>
      </c>
      <c r="Q108" s="7">
        <f t="shared" si="103"/>
        <v>0</v>
      </c>
      <c r="R108" s="7">
        <f t="shared" si="105"/>
        <v>70612.988400000002</v>
      </c>
    </row>
    <row r="109" spans="1:18" x14ac:dyDescent="0.35">
      <c r="A109" s="63" t="s">
        <v>64</v>
      </c>
      <c r="B109" s="7">
        <f>47500*B39</f>
        <v>1995000</v>
      </c>
      <c r="C109" s="7"/>
      <c r="D109" s="7"/>
      <c r="E109" s="7"/>
      <c r="F109" s="7">
        <f t="shared" si="101"/>
        <v>1995000</v>
      </c>
      <c r="G109" s="187">
        <v>47500</v>
      </c>
      <c r="H109" s="7">
        <f>45000*H39</f>
        <v>1395000</v>
      </c>
      <c r="I109" s="7"/>
      <c r="J109" s="7"/>
      <c r="K109" s="7"/>
      <c r="L109" s="7">
        <f t="shared" si="102"/>
        <v>1395000</v>
      </c>
      <c r="M109" s="187">
        <v>45000</v>
      </c>
      <c r="N109" s="7">
        <f t="shared" si="104"/>
        <v>3390000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3390000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47500*D30</f>
        <v>166250</v>
      </c>
      <c r="E111" s="7"/>
      <c r="F111" s="7">
        <f t="shared" si="101"/>
        <v>166250</v>
      </c>
      <c r="H111" s="7">
        <f>43000*H30</f>
        <v>0</v>
      </c>
      <c r="I111" s="7"/>
      <c r="J111" s="7">
        <f>45000*J30</f>
        <v>180000</v>
      </c>
      <c r="K111" s="7"/>
      <c r="L111" s="7">
        <f t="shared" si="102"/>
        <v>180000</v>
      </c>
      <c r="N111" s="7">
        <f t="shared" si="104"/>
        <v>0</v>
      </c>
      <c r="O111" s="7">
        <f t="shared" si="103"/>
        <v>0</v>
      </c>
      <c r="P111" s="7">
        <f t="shared" si="103"/>
        <v>346250</v>
      </c>
      <c r="Q111" s="7">
        <f t="shared" si="103"/>
        <v>0</v>
      </c>
      <c r="R111" s="7">
        <f t="shared" si="105"/>
        <v>346250</v>
      </c>
    </row>
    <row r="112" spans="1:18" x14ac:dyDescent="0.35">
      <c r="A112" s="63" t="s">
        <v>67</v>
      </c>
      <c r="B112" s="7">
        <f>'FY24'!B112*1.02</f>
        <v>110569.54937184</v>
      </c>
      <c r="C112" s="7"/>
      <c r="D112" s="7"/>
      <c r="E112" s="7"/>
      <c r="F112" s="7">
        <f t="shared" si="101"/>
        <v>110569.54937184</v>
      </c>
      <c r="H112" s="7">
        <f>((47840+37440)*1.015*1.013*1.02)</f>
        <v>89438.158991999982</v>
      </c>
      <c r="I112" s="7"/>
      <c r="J112" s="7"/>
      <c r="K112" s="7"/>
      <c r="L112" s="7">
        <f t="shared" si="102"/>
        <v>89438.158991999982</v>
      </c>
      <c r="N112" s="7">
        <f t="shared" si="104"/>
        <v>200007.70836383998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200007.70836383998</v>
      </c>
    </row>
    <row r="113" spans="1:18" x14ac:dyDescent="0.35">
      <c r="A113" s="63" t="s">
        <v>68</v>
      </c>
      <c r="B113" s="7">
        <f>(14.5*8*190)*(B50+B51)</f>
        <v>44080</v>
      </c>
      <c r="C113" s="7"/>
      <c r="D113" s="7"/>
      <c r="E113" s="7"/>
      <c r="F113" s="7">
        <f t="shared" si="101"/>
        <v>44080</v>
      </c>
      <c r="H113" s="7">
        <f>(14.25*8*190)*(H50+H51)</f>
        <v>43320</v>
      </c>
      <c r="I113" s="7"/>
      <c r="J113" s="7"/>
      <c r="K113" s="7"/>
      <c r="L113" s="7">
        <f t="shared" si="102"/>
        <v>43320</v>
      </c>
      <c r="N113" s="7">
        <f t="shared" si="104"/>
        <v>87400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87400</v>
      </c>
    </row>
    <row r="114" spans="1:18" x14ac:dyDescent="0.35">
      <c r="A114" s="63" t="s">
        <v>69</v>
      </c>
      <c r="B114" s="7">
        <f>(12.75*8*180)*B52</f>
        <v>0</v>
      </c>
      <c r="C114" s="7">
        <f>(13.5*8*180)*C52</f>
        <v>77760</v>
      </c>
      <c r="D114" s="7">
        <f>(13.5*8*180)*D52</f>
        <v>58320</v>
      </c>
      <c r="E114" s="7"/>
      <c r="F114" s="7">
        <f t="shared" si="101"/>
        <v>136080</v>
      </c>
      <c r="H114" s="7">
        <f>(12.75*8*180)*H52</f>
        <v>0</v>
      </c>
      <c r="I114" s="7">
        <f>(13.25*8*180)*I52</f>
        <v>47700</v>
      </c>
      <c r="J114" s="7">
        <f>(13.25*8*180)*J52</f>
        <v>47700</v>
      </c>
      <c r="K114" s="7"/>
      <c r="L114" s="7">
        <f t="shared" si="102"/>
        <v>95400</v>
      </c>
      <c r="N114" s="7">
        <f t="shared" si="104"/>
        <v>0</v>
      </c>
      <c r="O114" s="7">
        <f t="shared" si="103"/>
        <v>125460</v>
      </c>
      <c r="P114" s="7">
        <f t="shared" si="103"/>
        <v>106020</v>
      </c>
      <c r="Q114" s="7">
        <f t="shared" si="103"/>
        <v>0</v>
      </c>
      <c r="R114" s="7">
        <f t="shared" si="105"/>
        <v>231480</v>
      </c>
    </row>
    <row r="115" spans="1:18" x14ac:dyDescent="0.35">
      <c r="A115" s="63" t="s">
        <v>70</v>
      </c>
      <c r="B115" s="15">
        <f>(25.75*8*240)</f>
        <v>49440</v>
      </c>
      <c r="C115" s="7"/>
      <c r="D115" s="7"/>
      <c r="E115" s="7"/>
      <c r="F115" s="7">
        <f t="shared" si="101"/>
        <v>49440</v>
      </c>
      <c r="H115" s="15">
        <f>(25.5*8*240)</f>
        <v>48960</v>
      </c>
      <c r="I115" s="7"/>
      <c r="J115" s="7"/>
      <c r="K115" s="7"/>
      <c r="L115" s="7">
        <f t="shared" si="102"/>
        <v>48960</v>
      </c>
      <c r="N115" s="7">
        <f t="shared" si="104"/>
        <v>98400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98400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2605637.7629718399</v>
      </c>
      <c r="C117" s="83">
        <f t="shared" ref="C117:F117" si="106">SUM(C104:C116)</f>
        <v>148372.9884</v>
      </c>
      <c r="D117" s="83">
        <f t="shared" si="106"/>
        <v>224570</v>
      </c>
      <c r="E117" s="83">
        <f t="shared" si="106"/>
        <v>0</v>
      </c>
      <c r="F117" s="83">
        <f t="shared" si="106"/>
        <v>2978580.75137184</v>
      </c>
      <c r="H117" s="83">
        <f>SUM(H104:H116)</f>
        <v>1758718.1589919999</v>
      </c>
      <c r="I117" s="83">
        <f t="shared" ref="I117:L117" si="107">SUM(I104:I116)</f>
        <v>103800</v>
      </c>
      <c r="J117" s="83">
        <f t="shared" si="107"/>
        <v>227700</v>
      </c>
      <c r="K117" s="83">
        <f t="shared" si="107"/>
        <v>0</v>
      </c>
      <c r="L117" s="83">
        <f t="shared" si="107"/>
        <v>2090218.1589919999</v>
      </c>
      <c r="N117" s="83">
        <f>SUM(N104:N116)</f>
        <v>4364355.9219638398</v>
      </c>
      <c r="O117" s="83">
        <f t="shared" ref="O117:R117" si="108">SUM(O104:O116)</f>
        <v>252172.9884</v>
      </c>
      <c r="P117" s="83">
        <f t="shared" si="108"/>
        <v>452270</v>
      </c>
      <c r="Q117" s="83">
        <f t="shared" si="108"/>
        <v>0</v>
      </c>
      <c r="R117" s="83">
        <f t="shared" si="108"/>
        <v>5068798.9103638399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'FY24'!D121*1.02</f>
        <v>51115.372199999991</v>
      </c>
      <c r="E121" s="7"/>
      <c r="F121" s="7">
        <f t="shared" si="115"/>
        <v>51115.372199999991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51115.372199999991</v>
      </c>
      <c r="Q121" s="7">
        <f t="shared" si="117"/>
        <v>0</v>
      </c>
      <c r="R121" s="7">
        <f t="shared" si="118"/>
        <v>51115.372199999991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'FY24'!C125*1.02</f>
        <v>54804.110399999998</v>
      </c>
      <c r="D125" s="7"/>
      <c r="E125" s="7"/>
      <c r="F125" s="7">
        <f t="shared" si="115"/>
        <v>54804.110399999998</v>
      </c>
      <c r="H125" s="7">
        <v>0</v>
      </c>
      <c r="I125" s="7">
        <f>26000*1.013*1.02</f>
        <v>26864.76</v>
      </c>
      <c r="J125" s="7"/>
      <c r="K125" s="7"/>
      <c r="L125" s="7">
        <f t="shared" si="116"/>
        <v>26864.76</v>
      </c>
      <c r="N125" s="7">
        <f t="shared" si="119"/>
        <v>0</v>
      </c>
      <c r="O125" s="7">
        <f t="shared" si="117"/>
        <v>81668.8704</v>
      </c>
      <c r="P125" s="7">
        <f t="shared" si="117"/>
        <v>0</v>
      </c>
      <c r="Q125" s="7">
        <f t="shared" si="117"/>
        <v>0</v>
      </c>
      <c r="R125" s="7">
        <f t="shared" si="118"/>
        <v>81668.8704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(13.75*6*185)*E54</f>
        <v>15262.5</v>
      </c>
      <c r="F127" s="7">
        <f t="shared" si="115"/>
        <v>15262.5</v>
      </c>
      <c r="H127" s="150"/>
      <c r="I127" s="7">
        <f t="shared" ref="I127" si="121">(12.5*6*185)*I54</f>
        <v>0</v>
      </c>
      <c r="J127" s="150"/>
      <c r="K127" s="7">
        <f>(13.5*8*185)*K54</f>
        <v>19980</v>
      </c>
      <c r="L127" s="7">
        <f t="shared" si="116"/>
        <v>19980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35242.5</v>
      </c>
      <c r="R127" s="7">
        <f t="shared" si="118"/>
        <v>35242.5</v>
      </c>
    </row>
    <row r="128" spans="1:18" x14ac:dyDescent="0.35">
      <c r="A128" s="63" t="s">
        <v>78</v>
      </c>
      <c r="B128" s="37">
        <f>125*180</f>
        <v>22500</v>
      </c>
      <c r="C128" s="37"/>
      <c r="D128" s="37"/>
      <c r="E128" s="37"/>
      <c r="F128" s="7">
        <f t="shared" si="115"/>
        <v>22500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45000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45000</v>
      </c>
    </row>
    <row r="129" spans="1:18" ht="15" thickBot="1" x14ac:dyDescent="0.4">
      <c r="A129" s="82" t="s">
        <v>79</v>
      </c>
      <c r="B129" s="87">
        <f>SUM(B119:B128)</f>
        <v>22500</v>
      </c>
      <c r="C129" s="87">
        <f t="shared" ref="C129" si="122">SUM(C119:C128)</f>
        <v>54804.110399999998</v>
      </c>
      <c r="D129" s="87">
        <f>SUM(D119:D128)</f>
        <v>51115.372199999991</v>
      </c>
      <c r="E129" s="87">
        <f t="shared" ref="E129:F129" si="123">SUM(E119:E128)</f>
        <v>15262.5</v>
      </c>
      <c r="F129" s="87">
        <f t="shared" si="123"/>
        <v>143681.98259999999</v>
      </c>
      <c r="H129" s="87">
        <f>SUM(H119:H128)</f>
        <v>22500</v>
      </c>
      <c r="I129" s="87">
        <f t="shared" ref="I129" si="124">SUM(I119:I128)</f>
        <v>26864.76</v>
      </c>
      <c r="J129" s="87">
        <f>SUM(J119:J128)</f>
        <v>0</v>
      </c>
      <c r="K129" s="87">
        <f t="shared" ref="K129:L129" si="125">SUM(K119:K128)</f>
        <v>19980</v>
      </c>
      <c r="L129" s="87">
        <f t="shared" si="125"/>
        <v>69344.759999999995</v>
      </c>
      <c r="N129" s="87">
        <f>SUM(N119:N128)</f>
        <v>45000</v>
      </c>
      <c r="O129" s="87">
        <f t="shared" ref="O129" si="126">SUM(O119:O128)</f>
        <v>81668.8704</v>
      </c>
      <c r="P129" s="87">
        <f>SUM(P119:P128)</f>
        <v>51115.372199999991</v>
      </c>
      <c r="Q129" s="87">
        <f t="shared" ref="Q129:R129" si="127">SUM(Q119:Q128)</f>
        <v>35242.5</v>
      </c>
      <c r="R129" s="87">
        <f t="shared" si="127"/>
        <v>213026.7426</v>
      </c>
    </row>
    <row r="130" spans="1:18" ht="15" thickBot="1" x14ac:dyDescent="0.4">
      <c r="A130" s="89" t="s">
        <v>80</v>
      </c>
      <c r="B130" s="90">
        <f>B117+B129</f>
        <v>2628137.7629718399</v>
      </c>
      <c r="C130" s="90">
        <f t="shared" ref="C130" si="128">C117+C129</f>
        <v>203177.09880000001</v>
      </c>
      <c r="D130" s="90">
        <f>D117+D129</f>
        <v>275685.37219999998</v>
      </c>
      <c r="E130" s="90">
        <f t="shared" ref="E130:F130" si="129">E117+E129</f>
        <v>15262.5</v>
      </c>
      <c r="F130" s="90">
        <f t="shared" si="129"/>
        <v>3122262.7339718398</v>
      </c>
      <c r="H130" s="90">
        <f>H117+H129</f>
        <v>1781218.1589919999</v>
      </c>
      <c r="I130" s="90">
        <f t="shared" ref="I130" si="130">I117+I129</f>
        <v>130664.76</v>
      </c>
      <c r="J130" s="90">
        <f>J117+J129</f>
        <v>227700</v>
      </c>
      <c r="K130" s="90">
        <f t="shared" ref="K130:L130" si="131">K117+K129</f>
        <v>19980</v>
      </c>
      <c r="L130" s="90">
        <f t="shared" si="131"/>
        <v>2159562.9189919997</v>
      </c>
      <c r="N130" s="90">
        <f>N117+N129</f>
        <v>4409355.9219638398</v>
      </c>
      <c r="O130" s="90">
        <f t="shared" ref="O130" si="132">O117+O129</f>
        <v>333841.85879999999</v>
      </c>
      <c r="P130" s="90">
        <f>P117+P129</f>
        <v>503385.37219999998</v>
      </c>
      <c r="Q130" s="90">
        <f t="shared" ref="Q130:R130" si="133">Q117+Q129</f>
        <v>35242.5</v>
      </c>
      <c r="R130" s="90">
        <f t="shared" si="133"/>
        <v>5281825.6529638395</v>
      </c>
    </row>
    <row r="131" spans="1:18" x14ac:dyDescent="0.35">
      <c r="A131" s="63" t="s">
        <v>217</v>
      </c>
      <c r="B131" s="62">
        <f>B130*0.2975</f>
        <v>781870.98448412237</v>
      </c>
      <c r="C131" s="62">
        <f t="shared" ref="C131" si="134">C130*0.2975</f>
        <v>60445.186892999998</v>
      </c>
      <c r="D131" s="62">
        <f>D130*0.2975</f>
        <v>82016.398229499988</v>
      </c>
      <c r="E131" s="62">
        <f t="shared" ref="E131" si="135">E130*0.2975</f>
        <v>4540.59375</v>
      </c>
      <c r="F131" s="62">
        <f>F130*0.2975</f>
        <v>928873.16335662233</v>
      </c>
      <c r="H131" s="62">
        <f>H130*0.2975</f>
        <v>529912.40230011998</v>
      </c>
      <c r="I131" s="62">
        <f t="shared" ref="I131" si="136">I130*0.2975</f>
        <v>38872.766099999993</v>
      </c>
      <c r="J131" s="62">
        <f>J130*0.2975</f>
        <v>67740.75</v>
      </c>
      <c r="K131" s="62">
        <f t="shared" ref="K131" si="137">K130*0.2975</f>
        <v>5944.05</v>
      </c>
      <c r="L131" s="62">
        <f>L130*0.2975</f>
        <v>642469.96840011992</v>
      </c>
      <c r="N131" s="7">
        <f>B131+H131</f>
        <v>1311783.3867842425</v>
      </c>
      <c r="O131" s="7">
        <f t="shared" ref="O131:Q136" si="138">C131+I131</f>
        <v>99317.952992999984</v>
      </c>
      <c r="P131" s="7">
        <f t="shared" si="138"/>
        <v>149757.14822949999</v>
      </c>
      <c r="Q131" s="7">
        <f t="shared" si="138"/>
        <v>10484.643749999999</v>
      </c>
      <c r="R131" s="152">
        <f t="shared" ref="R131:R136" si="139">SUM(N131:Q131)</f>
        <v>1571343.1317567425</v>
      </c>
    </row>
    <row r="132" spans="1:18" x14ac:dyDescent="0.35">
      <c r="A132" s="63" t="s">
        <v>81</v>
      </c>
      <c r="B132" s="7">
        <f>B130*0.1875</f>
        <v>492775.83055721998</v>
      </c>
      <c r="C132" s="7">
        <f t="shared" ref="C132:E132" si="140">C130*0.1875</f>
        <v>38095.706024999999</v>
      </c>
      <c r="D132" s="7">
        <f t="shared" si="140"/>
        <v>51691.007287499997</v>
      </c>
      <c r="E132" s="7">
        <f t="shared" si="140"/>
        <v>2861.71875</v>
      </c>
      <c r="F132" s="7">
        <f>SUM(B132:E132)</f>
        <v>585424.26261971996</v>
      </c>
      <c r="H132" s="7">
        <f>H130*0.1875</f>
        <v>333978.40481099999</v>
      </c>
      <c r="I132" s="7">
        <f t="shared" ref="I132:K132" si="141">I130*0.1875</f>
        <v>24499.642499999998</v>
      </c>
      <c r="J132" s="7">
        <f t="shared" si="141"/>
        <v>42693.75</v>
      </c>
      <c r="K132" s="7">
        <f t="shared" si="141"/>
        <v>3746.25</v>
      </c>
      <c r="L132" s="7">
        <f>SUM(H132:K132)</f>
        <v>404918.047311</v>
      </c>
      <c r="N132" s="7">
        <f t="shared" ref="N132:N136" si="142">B132+H132</f>
        <v>826754.2353682199</v>
      </c>
      <c r="O132" s="7">
        <f t="shared" si="138"/>
        <v>62595.348524999994</v>
      </c>
      <c r="P132" s="7">
        <f t="shared" si="138"/>
        <v>94384.75728749999</v>
      </c>
      <c r="Q132" s="7">
        <f t="shared" si="138"/>
        <v>6607.96875</v>
      </c>
      <c r="R132" s="152">
        <f t="shared" si="139"/>
        <v>990342.3099307199</v>
      </c>
    </row>
    <row r="133" spans="1:18" x14ac:dyDescent="0.35">
      <c r="A133" s="63" t="s">
        <v>82</v>
      </c>
      <c r="B133" s="7">
        <f>'FY24'!B133*1.02</f>
        <v>60460.765200000002</v>
      </c>
      <c r="C133" s="7">
        <f>'FY24'!C133*1.02</f>
        <v>4317.66</v>
      </c>
      <c r="D133" s="7">
        <f>'FY24'!D133*1.02</f>
        <v>6008.31</v>
      </c>
      <c r="E133" s="7">
        <f>'FY24'!E133*1.02</f>
        <v>442.17</v>
      </c>
      <c r="F133" s="152">
        <f>SUM(B133:E133)</f>
        <v>71228.905199999994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(125*H67)+(((H42*2000)+(H43*1500)+(H44*1200)+(H46*1200)+(H47*1200)+(H48*1000)+(H49*1000)+(H50*300)+(H51*300)+(H52*300)+(H53*300)+(H54*300)+(H56*1000)+(H57*1000)+(H58*1000)+(H59*1000)+(H60*1000)+(H61*1000)+(H39*1000)+(1000*H55))*0.875)</f>
        <v>38650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1687.5</v>
      </c>
      <c r="J133" s="152">
        <f t="shared" si="143"/>
        <v>5087.5</v>
      </c>
      <c r="K133" s="152">
        <f t="shared" si="143"/>
        <v>395</v>
      </c>
      <c r="L133" s="152">
        <f>SUM(H133:K133)</f>
        <v>45820</v>
      </c>
      <c r="N133" s="7">
        <f t="shared" si="142"/>
        <v>99110.765199999994</v>
      </c>
      <c r="O133" s="7">
        <f t="shared" si="138"/>
        <v>6005.16</v>
      </c>
      <c r="P133" s="7">
        <f t="shared" si="138"/>
        <v>11095.810000000001</v>
      </c>
      <c r="Q133" s="7">
        <f t="shared" si="138"/>
        <v>837.17000000000007</v>
      </c>
      <c r="R133" s="152">
        <f t="shared" si="139"/>
        <v>117048.90519999999</v>
      </c>
    </row>
    <row r="134" spans="1:18" x14ac:dyDescent="0.35">
      <c r="A134" s="63" t="s">
        <v>83</v>
      </c>
      <c r="B134" s="94"/>
      <c r="C134" s="94"/>
      <c r="D134" s="94"/>
      <c r="E134" s="94"/>
      <c r="F134" s="94"/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si="139"/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7">
        <f t="shared" ref="F135" si="144">1800*3</f>
        <v>5400</v>
      </c>
      <c r="H135" s="7">
        <f>1800*3</f>
        <v>5400</v>
      </c>
      <c r="I135" s="7"/>
      <c r="J135" s="7"/>
      <c r="K135" s="7"/>
      <c r="L135" s="7">
        <f t="shared" ref="L135" si="145">1800*3</f>
        <v>5400</v>
      </c>
      <c r="N135" s="7">
        <f t="shared" si="142"/>
        <v>12600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39"/>
        <v>12600</v>
      </c>
    </row>
    <row r="136" spans="1:18" x14ac:dyDescent="0.35">
      <c r="A136" s="63" t="s">
        <v>218</v>
      </c>
      <c r="B136" s="37">
        <f>(175*10*B39)-B128</f>
        <v>51000</v>
      </c>
      <c r="C136" s="37">
        <f t="shared" ref="C136:E136" si="146">(175*10*C39)-C128</f>
        <v>0</v>
      </c>
      <c r="D136" s="37">
        <f t="shared" si="146"/>
        <v>6125</v>
      </c>
      <c r="E136" s="37">
        <f t="shared" si="146"/>
        <v>0</v>
      </c>
      <c r="F136" s="37">
        <f t="shared" ref="F136" si="147">(165*10*F39)-F128</f>
        <v>52575</v>
      </c>
      <c r="H136" s="37">
        <f>(175*10*H39)-H128</f>
        <v>31750</v>
      </c>
      <c r="I136" s="37">
        <f t="shared" ref="I136:K136" si="148">(175*10*I39)-I128</f>
        <v>0</v>
      </c>
      <c r="J136" s="37">
        <f t="shared" si="148"/>
        <v>7000</v>
      </c>
      <c r="K136" s="37">
        <f t="shared" si="148"/>
        <v>0</v>
      </c>
      <c r="L136" s="37">
        <f t="shared" ref="L136" si="149">(165*10*L39)-L128</f>
        <v>35250</v>
      </c>
      <c r="N136" s="7">
        <f t="shared" si="142"/>
        <v>82750</v>
      </c>
      <c r="O136" s="7">
        <f t="shared" si="138"/>
        <v>0</v>
      </c>
      <c r="P136" s="7">
        <f t="shared" si="138"/>
        <v>13125</v>
      </c>
      <c r="Q136" s="7">
        <f t="shared" si="138"/>
        <v>0</v>
      </c>
      <c r="R136" s="152">
        <f t="shared" si="139"/>
        <v>95875</v>
      </c>
    </row>
    <row r="137" spans="1:18" ht="15" thickBot="1" x14ac:dyDescent="0.4">
      <c r="A137" s="91" t="s">
        <v>85</v>
      </c>
      <c r="B137" s="87">
        <f>SUM(B131:B136)</f>
        <v>1393307.5802413423</v>
      </c>
      <c r="C137" s="87">
        <f t="shared" ref="C137" si="150">SUM(C131:C136)</f>
        <v>102858.552918</v>
      </c>
      <c r="D137" s="87">
        <f>SUM(D131:D136)</f>
        <v>145840.71551699998</v>
      </c>
      <c r="E137" s="87">
        <f t="shared" ref="E137:F137" si="151">SUM(E131:E136)</f>
        <v>7844.4825000000001</v>
      </c>
      <c r="F137" s="87">
        <f t="shared" si="151"/>
        <v>1643501.3311763422</v>
      </c>
      <c r="H137" s="87">
        <f>SUM(H131:H136)</f>
        <v>939690.80711111997</v>
      </c>
      <c r="I137" s="87">
        <f t="shared" ref="I137" si="152">SUM(I131:I136)</f>
        <v>65059.908599999995</v>
      </c>
      <c r="J137" s="87">
        <f>SUM(J131:J136)</f>
        <v>122522</v>
      </c>
      <c r="K137" s="87">
        <f t="shared" ref="K137:L137" si="153">SUM(K131:K136)</f>
        <v>10085.299999999999</v>
      </c>
      <c r="L137" s="87">
        <f t="shared" si="153"/>
        <v>1133858.0157111199</v>
      </c>
      <c r="N137" s="87">
        <f>SUM(N131:N136)</f>
        <v>2332998.3873524624</v>
      </c>
      <c r="O137" s="87">
        <f t="shared" ref="O137" si="154">SUM(O131:O136)</f>
        <v>167918.46151799997</v>
      </c>
      <c r="P137" s="87">
        <f>SUM(P131:P136)</f>
        <v>268362.71551699995</v>
      </c>
      <c r="Q137" s="87">
        <f t="shared" ref="Q137:R137" si="155">SUM(Q131:Q136)</f>
        <v>17929.782500000001</v>
      </c>
      <c r="R137" s="87">
        <f t="shared" si="155"/>
        <v>2787209.3468874623</v>
      </c>
    </row>
    <row r="138" spans="1:18" ht="15" thickBot="1" x14ac:dyDescent="0.4">
      <c r="A138" s="95" t="s">
        <v>86</v>
      </c>
      <c r="B138" s="90">
        <f>B130+B137</f>
        <v>4021445.3432131819</v>
      </c>
      <c r="C138" s="90">
        <f t="shared" ref="C138" si="156">C130+C137</f>
        <v>306035.65171800001</v>
      </c>
      <c r="D138" s="90">
        <f>D130+D137</f>
        <v>421526.08771699993</v>
      </c>
      <c r="E138" s="90">
        <f t="shared" ref="E138:F138" si="157">E130+E137</f>
        <v>23106.982499999998</v>
      </c>
      <c r="F138" s="90">
        <f t="shared" si="157"/>
        <v>4765764.0651481822</v>
      </c>
      <c r="H138" s="90">
        <f>H130+H137</f>
        <v>2720908.9661031198</v>
      </c>
      <c r="I138" s="90">
        <f t="shared" ref="I138" si="158">I130+I137</f>
        <v>195724.66859999998</v>
      </c>
      <c r="J138" s="90">
        <f>J130+J137</f>
        <v>350222</v>
      </c>
      <c r="K138" s="90">
        <f t="shared" ref="K138:L138" si="159">K130+K137</f>
        <v>30065.3</v>
      </c>
      <c r="L138" s="90">
        <f t="shared" si="159"/>
        <v>3293420.9347031196</v>
      </c>
      <c r="N138" s="90">
        <f>N130+N137</f>
        <v>6742354.3093163017</v>
      </c>
      <c r="O138" s="90">
        <f t="shared" ref="O138" si="160">O130+O137</f>
        <v>501760.32031799993</v>
      </c>
      <c r="P138" s="90">
        <f>P130+P137</f>
        <v>771748.08771699993</v>
      </c>
      <c r="Q138" s="90">
        <f t="shared" ref="Q138:R138" si="161">Q130+Q137</f>
        <v>53172.282500000001</v>
      </c>
      <c r="R138" s="90">
        <f t="shared" si="161"/>
        <v>8069034.9998513013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2">C1</f>
        <v>Weights</v>
      </c>
      <c r="D139" s="153" t="str">
        <f>D1</f>
        <v>SPED</v>
      </c>
      <c r="E139" s="153" t="str">
        <f t="shared" ref="E139:F139" si="163">E1</f>
        <v>NSLP</v>
      </c>
      <c r="F139" s="153" t="str">
        <f t="shared" si="163"/>
        <v>Mt. Rose</v>
      </c>
      <c r="H139" s="153" t="str">
        <f>H1</f>
        <v>Operating</v>
      </c>
      <c r="I139" s="153" t="str">
        <f t="shared" ref="I139" si="164">I1</f>
        <v>Weights</v>
      </c>
      <c r="J139" s="153" t="str">
        <f>J1</f>
        <v>SPED</v>
      </c>
      <c r="K139" s="153" t="str">
        <f t="shared" ref="K139:L139" si="165">K1</f>
        <v>NSLP</v>
      </c>
      <c r="L139" s="153" t="str">
        <f t="shared" si="165"/>
        <v>New Campus</v>
      </c>
      <c r="N139" s="153" t="str">
        <f>N1</f>
        <v>Operating</v>
      </c>
      <c r="O139" s="153" t="str">
        <f t="shared" ref="O139" si="166">O1</f>
        <v>Weights</v>
      </c>
      <c r="P139" s="153" t="str">
        <f>P1</f>
        <v>SPED</v>
      </c>
      <c r="Q139" s="153" t="str">
        <f t="shared" ref="Q139:R139" si="167">Q1</f>
        <v>NSLP</v>
      </c>
      <c r="R139" s="153" t="str">
        <f t="shared" si="167"/>
        <v>DANN Total</v>
      </c>
    </row>
    <row r="140" spans="1:18" x14ac:dyDescent="0.35">
      <c r="A140" s="98" t="s">
        <v>88</v>
      </c>
      <c r="B140" s="15">
        <f>140*B19</f>
        <v>139440</v>
      </c>
      <c r="C140" s="15"/>
      <c r="D140" s="15"/>
      <c r="E140" s="15"/>
      <c r="F140" s="15">
        <f t="shared" ref="F140:F148" si="168">SUM(B140:E140)</f>
        <v>139440</v>
      </c>
      <c r="H140" s="15">
        <f>140*H19</f>
        <v>100940</v>
      </c>
      <c r="I140" s="15"/>
      <c r="J140" s="15"/>
      <c r="K140" s="15"/>
      <c r="L140" s="15">
        <f t="shared" ref="L140:L148" si="169">SUM(H140:K140)</f>
        <v>100940</v>
      </c>
      <c r="N140" s="7">
        <f t="shared" ref="N140:Q149" si="170">B140+H140</f>
        <v>240380</v>
      </c>
      <c r="O140" s="7">
        <f t="shared" si="170"/>
        <v>0</v>
      </c>
      <c r="P140" s="7">
        <f t="shared" si="170"/>
        <v>0</v>
      </c>
      <c r="Q140" s="7">
        <f t="shared" si="170"/>
        <v>0</v>
      </c>
      <c r="R140" s="15">
        <f t="shared" ref="R140:R148" si="171">SUM(N140:Q140)</f>
        <v>240380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8"/>
        <v>0</v>
      </c>
      <c r="H141" s="7">
        <v>0</v>
      </c>
      <c r="I141" s="7"/>
      <c r="J141" s="7"/>
      <c r="K141" s="7"/>
      <c r="L141" s="15">
        <f t="shared" si="169"/>
        <v>0</v>
      </c>
      <c r="N141" s="7">
        <f t="shared" si="170"/>
        <v>0</v>
      </c>
      <c r="O141" s="7">
        <f t="shared" si="170"/>
        <v>0</v>
      </c>
      <c r="P141" s="7">
        <f t="shared" si="170"/>
        <v>0</v>
      </c>
      <c r="Q141" s="7">
        <f t="shared" si="170"/>
        <v>0</v>
      </c>
      <c r="R141" s="15">
        <f t="shared" si="171"/>
        <v>0</v>
      </c>
    </row>
    <row r="142" spans="1:18" x14ac:dyDescent="0.35">
      <c r="A142" s="63" t="s">
        <v>89</v>
      </c>
      <c r="B142" s="11">
        <v>120000</v>
      </c>
      <c r="C142" s="11"/>
      <c r="D142" s="11"/>
      <c r="E142" s="11"/>
      <c r="F142" s="15">
        <f t="shared" si="168"/>
        <v>120000</v>
      </c>
      <c r="H142" s="11">
        <v>177000</v>
      </c>
      <c r="I142" s="11"/>
      <c r="J142" s="11"/>
      <c r="K142" s="11"/>
      <c r="L142" s="15">
        <f t="shared" si="169"/>
        <v>177000</v>
      </c>
      <c r="N142" s="7">
        <f t="shared" si="170"/>
        <v>297000</v>
      </c>
      <c r="O142" s="7">
        <f t="shared" si="170"/>
        <v>0</v>
      </c>
      <c r="P142" s="7">
        <f t="shared" si="170"/>
        <v>0</v>
      </c>
      <c r="Q142" s="7">
        <f t="shared" si="170"/>
        <v>0</v>
      </c>
      <c r="R142" s="15">
        <f t="shared" si="171"/>
        <v>297000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8"/>
        <v>0</v>
      </c>
      <c r="H143" s="7"/>
      <c r="I143" s="7">
        <v>0</v>
      </c>
      <c r="J143" s="7"/>
      <c r="K143" s="7"/>
      <c r="L143" s="15">
        <f t="shared" si="169"/>
        <v>0</v>
      </c>
      <c r="N143" s="7">
        <f t="shared" si="170"/>
        <v>0</v>
      </c>
      <c r="O143" s="7">
        <f t="shared" si="170"/>
        <v>0</v>
      </c>
      <c r="P143" s="7">
        <f t="shared" si="170"/>
        <v>0</v>
      </c>
      <c r="Q143" s="7">
        <f t="shared" si="170"/>
        <v>0</v>
      </c>
      <c r="R143" s="15">
        <f t="shared" si="171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2">13*C19</f>
        <v>0</v>
      </c>
      <c r="D144" s="7"/>
      <c r="E144" s="7"/>
      <c r="F144" s="15">
        <f t="shared" si="168"/>
        <v>13944</v>
      </c>
      <c r="H144" s="7">
        <f>14*H19</f>
        <v>10094</v>
      </c>
      <c r="I144" s="7">
        <f t="shared" ref="I144" si="173">13*I19</f>
        <v>0</v>
      </c>
      <c r="J144" s="7"/>
      <c r="K144" s="7"/>
      <c r="L144" s="15">
        <f t="shared" si="169"/>
        <v>10094</v>
      </c>
      <c r="N144" s="7">
        <f t="shared" si="170"/>
        <v>24038</v>
      </c>
      <c r="O144" s="7">
        <f t="shared" si="170"/>
        <v>0</v>
      </c>
      <c r="P144" s="7">
        <f t="shared" si="170"/>
        <v>0</v>
      </c>
      <c r="Q144" s="7">
        <f t="shared" si="170"/>
        <v>0</v>
      </c>
      <c r="R144" s="15">
        <f t="shared" si="171"/>
        <v>24038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8"/>
        <v>28884</v>
      </c>
      <c r="H145" s="7">
        <f>(29*H19)</f>
        <v>20909</v>
      </c>
      <c r="I145" s="7">
        <v>0</v>
      </c>
      <c r="J145" s="7"/>
      <c r="K145" s="7"/>
      <c r="L145" s="15">
        <f t="shared" si="169"/>
        <v>20909</v>
      </c>
      <c r="N145" s="7">
        <f t="shared" si="170"/>
        <v>49793</v>
      </c>
      <c r="O145" s="7">
        <f t="shared" si="170"/>
        <v>0</v>
      </c>
      <c r="P145" s="7">
        <f t="shared" si="170"/>
        <v>0</v>
      </c>
      <c r="Q145" s="7">
        <f t="shared" si="170"/>
        <v>0</v>
      </c>
      <c r="R145" s="15">
        <f t="shared" si="171"/>
        <v>49793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4">4*C19</f>
        <v>0</v>
      </c>
      <c r="D146" s="7"/>
      <c r="E146" s="7"/>
      <c r="F146" s="15">
        <f t="shared" si="168"/>
        <v>4233</v>
      </c>
      <c r="H146" s="7">
        <f>4.25*H19</f>
        <v>3064.25</v>
      </c>
      <c r="I146" s="7">
        <f t="shared" ref="I146" si="175">4*I19</f>
        <v>0</v>
      </c>
      <c r="J146" s="7"/>
      <c r="K146" s="7"/>
      <c r="L146" s="15">
        <f t="shared" si="169"/>
        <v>3064.25</v>
      </c>
      <c r="N146" s="7">
        <f t="shared" si="170"/>
        <v>7297.25</v>
      </c>
      <c r="O146" s="7">
        <f t="shared" si="170"/>
        <v>0</v>
      </c>
      <c r="P146" s="7">
        <f t="shared" si="170"/>
        <v>0</v>
      </c>
      <c r="Q146" s="7">
        <f t="shared" si="170"/>
        <v>0</v>
      </c>
      <c r="R146" s="15">
        <f t="shared" si="171"/>
        <v>7297.25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6">3*C19</f>
        <v>0</v>
      </c>
      <c r="D147" s="7"/>
      <c r="E147" s="7"/>
      <c r="F147" s="15">
        <f t="shared" si="168"/>
        <v>3237</v>
      </c>
      <c r="H147" s="7">
        <f>3.25*H19</f>
        <v>2343.25</v>
      </c>
      <c r="I147" s="7">
        <f t="shared" ref="I147" si="177">3*I19</f>
        <v>0</v>
      </c>
      <c r="J147" s="7"/>
      <c r="K147" s="7"/>
      <c r="L147" s="15">
        <f t="shared" si="169"/>
        <v>2343.25</v>
      </c>
      <c r="N147" s="7">
        <f t="shared" si="170"/>
        <v>5580.25</v>
      </c>
      <c r="O147" s="7">
        <f t="shared" si="170"/>
        <v>0</v>
      </c>
      <c r="P147" s="7">
        <f t="shared" si="170"/>
        <v>0</v>
      </c>
      <c r="Q147" s="7">
        <f t="shared" si="170"/>
        <v>0</v>
      </c>
      <c r="R147" s="15">
        <f t="shared" si="171"/>
        <v>5580.25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8">120*C22</f>
        <v>0</v>
      </c>
      <c r="D148" s="7">
        <f>129*D22</f>
        <v>13932</v>
      </c>
      <c r="E148" s="7"/>
      <c r="F148" s="15">
        <f t="shared" si="168"/>
        <v>13932</v>
      </c>
      <c r="H148" s="7">
        <f>120*H22</f>
        <v>0</v>
      </c>
      <c r="I148" s="7">
        <f t="shared" ref="I148" si="179">120*I22</f>
        <v>0</v>
      </c>
      <c r="J148" s="7">
        <f>129*J22</f>
        <v>11929.92</v>
      </c>
      <c r="K148" s="7"/>
      <c r="L148" s="15">
        <f t="shared" si="169"/>
        <v>11929.92</v>
      </c>
      <c r="N148" s="7">
        <f t="shared" si="170"/>
        <v>0</v>
      </c>
      <c r="O148" s="7">
        <f t="shared" si="170"/>
        <v>0</v>
      </c>
      <c r="P148" s="7">
        <f t="shared" si="170"/>
        <v>25861.919999999998</v>
      </c>
      <c r="Q148" s="7">
        <f t="shared" si="170"/>
        <v>0</v>
      </c>
      <c r="R148" s="15">
        <f t="shared" si="171"/>
        <v>25861.919999999998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70"/>
        <v>0</v>
      </c>
      <c r="O149" s="7">
        <f t="shared" si="170"/>
        <v>0</v>
      </c>
      <c r="P149" s="7">
        <f t="shared" si="170"/>
        <v>0</v>
      </c>
      <c r="Q149" s="7">
        <f t="shared" si="170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309738</v>
      </c>
      <c r="C150" s="92">
        <f t="shared" ref="C150:F150" si="180">SUM(C140:C149)</f>
        <v>0</v>
      </c>
      <c r="D150" s="92">
        <f t="shared" si="180"/>
        <v>13932</v>
      </c>
      <c r="E150" s="92">
        <f t="shared" si="180"/>
        <v>0</v>
      </c>
      <c r="F150" s="92">
        <f t="shared" si="180"/>
        <v>323670</v>
      </c>
      <c r="H150" s="92">
        <f>SUM(H140:H149)</f>
        <v>314350.5</v>
      </c>
      <c r="I150" s="92">
        <f t="shared" ref="I150:L150" si="181">SUM(I140:I149)</f>
        <v>0</v>
      </c>
      <c r="J150" s="92">
        <f t="shared" si="181"/>
        <v>11929.92</v>
      </c>
      <c r="K150" s="92">
        <f t="shared" si="181"/>
        <v>0</v>
      </c>
      <c r="L150" s="92">
        <f t="shared" si="181"/>
        <v>326280.42</v>
      </c>
      <c r="N150" s="92">
        <f>SUM(N140:N149)</f>
        <v>624088.5</v>
      </c>
      <c r="O150" s="92">
        <f t="shared" ref="O150:R150" si="182">SUM(O140:O149)</f>
        <v>0</v>
      </c>
      <c r="P150" s="92">
        <f t="shared" si="182"/>
        <v>25861.919999999998</v>
      </c>
      <c r="Q150" s="92">
        <f t="shared" si="182"/>
        <v>0</v>
      </c>
      <c r="R150" s="92">
        <f t="shared" si="182"/>
        <v>649950.42000000004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3">C1</f>
        <v>Weights</v>
      </c>
      <c r="D151" s="153" t="str">
        <f>D1</f>
        <v>SPED</v>
      </c>
      <c r="E151" s="153" t="str">
        <f t="shared" ref="E151:F151" si="184">E1</f>
        <v>NSLP</v>
      </c>
      <c r="F151" s="153" t="str">
        <f t="shared" si="184"/>
        <v>Mt. Rose</v>
      </c>
      <c r="H151" s="153" t="str">
        <f>H1</f>
        <v>Operating</v>
      </c>
      <c r="I151" s="153" t="str">
        <f t="shared" ref="I151" si="185">I1</f>
        <v>Weights</v>
      </c>
      <c r="J151" s="153" t="str">
        <f>J1</f>
        <v>SPED</v>
      </c>
      <c r="K151" s="153" t="str">
        <f t="shared" ref="K151:L151" si="186">K1</f>
        <v>NSLP</v>
      </c>
      <c r="L151" s="153" t="str">
        <f t="shared" si="186"/>
        <v>New Campus</v>
      </c>
      <c r="N151" s="153" t="str">
        <f>N1</f>
        <v>Operating</v>
      </c>
      <c r="O151" s="153" t="str">
        <f t="shared" ref="O151" si="187">O1</f>
        <v>Weights</v>
      </c>
      <c r="P151" s="153" t="str">
        <f>P1</f>
        <v>SPED</v>
      </c>
      <c r="Q151" s="153" t="str">
        <f t="shared" ref="Q151:R151" si="188">Q1</f>
        <v>NSLP</v>
      </c>
      <c r="R151" s="153" t="str">
        <f t="shared" si="188"/>
        <v>DANN Total</v>
      </c>
    </row>
    <row r="152" spans="1:18" x14ac:dyDescent="0.35">
      <c r="A152" s="63" t="s">
        <v>99</v>
      </c>
      <c r="B152" s="80">
        <v>0</v>
      </c>
      <c r="C152" s="80">
        <f>12500*1.03</f>
        <v>12875</v>
      </c>
      <c r="D152" s="80"/>
      <c r="E152" s="80"/>
      <c r="F152" s="80">
        <f t="shared" ref="F152:F163" si="189">SUM(B152:E152)</f>
        <v>12875</v>
      </c>
      <c r="H152" s="80">
        <v>0</v>
      </c>
      <c r="I152" s="80">
        <f>12500*1.03</f>
        <v>12875</v>
      </c>
      <c r="J152" s="80"/>
      <c r="K152" s="80"/>
      <c r="L152" s="80">
        <f t="shared" ref="L152:L163" si="190">SUM(H152:K152)</f>
        <v>12875</v>
      </c>
      <c r="N152" s="7">
        <f t="shared" ref="N152:Q164" si="191">B152+H152</f>
        <v>0</v>
      </c>
      <c r="O152" s="7">
        <f t="shared" si="191"/>
        <v>25750</v>
      </c>
      <c r="P152" s="7">
        <f t="shared" si="191"/>
        <v>0</v>
      </c>
      <c r="Q152" s="7">
        <f t="shared" si="191"/>
        <v>0</v>
      </c>
      <c r="R152" s="80">
        <f t="shared" ref="R152:R163" si="192">SUM(N152:Q152)</f>
        <v>25750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89"/>
        <v>258960</v>
      </c>
      <c r="H153" s="14">
        <v>0</v>
      </c>
      <c r="I153" s="146"/>
      <c r="J153" s="11">
        <f>235*H19</f>
        <v>169435</v>
      </c>
      <c r="K153" s="146"/>
      <c r="L153" s="80">
        <f t="shared" si="190"/>
        <v>169435</v>
      </c>
      <c r="N153" s="7">
        <f t="shared" si="191"/>
        <v>0</v>
      </c>
      <c r="O153" s="7">
        <f t="shared" si="191"/>
        <v>0</v>
      </c>
      <c r="P153" s="7">
        <f t="shared" si="191"/>
        <v>428395</v>
      </c>
      <c r="Q153" s="7">
        <f t="shared" si="191"/>
        <v>0</v>
      </c>
      <c r="R153" s="80">
        <f t="shared" si="192"/>
        <v>428395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89"/>
        <v>0</v>
      </c>
      <c r="H154" s="11">
        <v>0</v>
      </c>
      <c r="I154" s="146"/>
      <c r="J154" s="14"/>
      <c r="K154" s="146"/>
      <c r="L154" s="80">
        <f t="shared" si="190"/>
        <v>0</v>
      </c>
      <c r="N154" s="7">
        <f t="shared" si="191"/>
        <v>0</v>
      </c>
      <c r="O154" s="7">
        <f t="shared" si="191"/>
        <v>0</v>
      </c>
      <c r="P154" s="7">
        <f t="shared" si="191"/>
        <v>0</v>
      </c>
      <c r="Q154" s="7">
        <f t="shared" si="191"/>
        <v>0</v>
      </c>
      <c r="R154" s="80">
        <f t="shared" si="192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89"/>
        <v>448200</v>
      </c>
      <c r="H155" s="7">
        <f>(450*H19)</f>
        <v>324450</v>
      </c>
      <c r="I155" s="7"/>
      <c r="J155" s="7"/>
      <c r="K155" s="7"/>
      <c r="L155" s="80">
        <f t="shared" si="190"/>
        <v>324450</v>
      </c>
      <c r="N155" s="7">
        <f t="shared" si="191"/>
        <v>772650</v>
      </c>
      <c r="O155" s="7">
        <f t="shared" si="191"/>
        <v>0</v>
      </c>
      <c r="P155" s="7">
        <f t="shared" si="191"/>
        <v>0</v>
      </c>
      <c r="Q155" s="7">
        <f t="shared" si="191"/>
        <v>0</v>
      </c>
      <c r="R155" s="80">
        <f t="shared" si="192"/>
        <v>772650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89"/>
        <v>14460</v>
      </c>
      <c r="H156" s="7">
        <f>(240*H67)+1500</f>
        <v>10860</v>
      </c>
      <c r="I156" s="7"/>
      <c r="J156" s="7"/>
      <c r="K156" s="7"/>
      <c r="L156" s="80">
        <f t="shared" si="190"/>
        <v>10860</v>
      </c>
      <c r="N156" s="7">
        <f t="shared" si="191"/>
        <v>25320</v>
      </c>
      <c r="O156" s="7">
        <f t="shared" si="191"/>
        <v>0</v>
      </c>
      <c r="P156" s="7">
        <f t="shared" si="191"/>
        <v>0</v>
      </c>
      <c r="Q156" s="7">
        <f t="shared" si="191"/>
        <v>0</v>
      </c>
      <c r="R156" s="80">
        <f t="shared" si="192"/>
        <v>25320</v>
      </c>
    </row>
    <row r="157" spans="1:18" x14ac:dyDescent="0.35">
      <c r="A157" s="63" t="s">
        <v>104</v>
      </c>
      <c r="B157" s="7">
        <f>(28500*1.03*1.03)*0.5</f>
        <v>15117.825000000001</v>
      </c>
      <c r="C157" s="7"/>
      <c r="D157" s="7"/>
      <c r="E157" s="7"/>
      <c r="F157" s="80">
        <f t="shared" si="189"/>
        <v>15117.825000000001</v>
      </c>
      <c r="H157" s="7">
        <f>(28500*1.03*1.03)*0.5</f>
        <v>15117.825000000001</v>
      </c>
      <c r="I157" s="7"/>
      <c r="J157" s="7"/>
      <c r="K157" s="7"/>
      <c r="L157" s="80">
        <f t="shared" si="190"/>
        <v>15117.825000000001</v>
      </c>
      <c r="N157" s="7">
        <f t="shared" si="191"/>
        <v>30235.65</v>
      </c>
      <c r="O157" s="7">
        <f t="shared" si="191"/>
        <v>0</v>
      </c>
      <c r="P157" s="7">
        <f t="shared" si="191"/>
        <v>0</v>
      </c>
      <c r="Q157" s="7">
        <f t="shared" si="191"/>
        <v>0</v>
      </c>
      <c r="R157" s="80">
        <f t="shared" si="192"/>
        <v>30235.65</v>
      </c>
    </row>
    <row r="158" spans="1:18" x14ac:dyDescent="0.35">
      <c r="A158" s="63" t="s">
        <v>105</v>
      </c>
      <c r="B158" s="7">
        <v>5500</v>
      </c>
      <c r="C158" s="7"/>
      <c r="D158" s="7"/>
      <c r="E158" s="7"/>
      <c r="F158" s="80">
        <f t="shared" si="189"/>
        <v>5500</v>
      </c>
      <c r="H158" s="7">
        <v>5500</v>
      </c>
      <c r="I158" s="7"/>
      <c r="J158" s="7"/>
      <c r="K158" s="7"/>
      <c r="L158" s="80">
        <f t="shared" si="190"/>
        <v>5500</v>
      </c>
      <c r="N158" s="7">
        <f t="shared" si="191"/>
        <v>11000</v>
      </c>
      <c r="O158" s="7">
        <f t="shared" si="191"/>
        <v>0</v>
      </c>
      <c r="P158" s="7">
        <f t="shared" si="191"/>
        <v>0</v>
      </c>
      <c r="Q158" s="7">
        <f t="shared" si="191"/>
        <v>0</v>
      </c>
      <c r="R158" s="80">
        <f t="shared" si="192"/>
        <v>11000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89"/>
        <v>44820</v>
      </c>
      <c r="H159" s="7">
        <f>45*H19</f>
        <v>32445</v>
      </c>
      <c r="I159" s="7"/>
      <c r="J159" s="7"/>
      <c r="K159" s="7"/>
      <c r="L159" s="80">
        <f t="shared" si="190"/>
        <v>32445</v>
      </c>
      <c r="N159" s="7">
        <f t="shared" si="191"/>
        <v>77265</v>
      </c>
      <c r="O159" s="7">
        <f t="shared" si="191"/>
        <v>0</v>
      </c>
      <c r="P159" s="7">
        <f t="shared" si="191"/>
        <v>0</v>
      </c>
      <c r="Q159" s="7">
        <f t="shared" si="191"/>
        <v>0</v>
      </c>
      <c r="R159" s="80">
        <f t="shared" si="192"/>
        <v>77265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89"/>
        <v>8500</v>
      </c>
      <c r="H160" s="7">
        <v>12000</v>
      </c>
      <c r="I160" s="7"/>
      <c r="J160" s="7"/>
      <c r="K160" s="7"/>
      <c r="L160" s="80">
        <f t="shared" si="190"/>
        <v>12000</v>
      </c>
      <c r="N160" s="7">
        <f t="shared" si="191"/>
        <v>20500</v>
      </c>
      <c r="O160" s="7">
        <f t="shared" si="191"/>
        <v>0</v>
      </c>
      <c r="P160" s="7">
        <f t="shared" si="191"/>
        <v>0</v>
      </c>
      <c r="Q160" s="7">
        <f t="shared" si="191"/>
        <v>0</v>
      </c>
      <c r="R160" s="80">
        <f t="shared" si="192"/>
        <v>20500</v>
      </c>
    </row>
    <row r="161" spans="1:18" x14ac:dyDescent="0.35">
      <c r="A161" s="63" t="s">
        <v>219</v>
      </c>
      <c r="B161" s="7">
        <f>(B88+B89)*0.0125</f>
        <v>90997.05</v>
      </c>
      <c r="C161" s="7"/>
      <c r="D161" s="7"/>
      <c r="E161" s="7"/>
      <c r="F161" s="80">
        <f t="shared" si="189"/>
        <v>90997.05</v>
      </c>
      <c r="H161" s="7">
        <f>(H88+H89)*0.0125</f>
        <v>65872.362500000003</v>
      </c>
      <c r="I161" s="7"/>
      <c r="J161" s="7"/>
      <c r="K161" s="7"/>
      <c r="L161" s="80">
        <f t="shared" si="190"/>
        <v>65872.362500000003</v>
      </c>
      <c r="N161" s="7">
        <f t="shared" si="191"/>
        <v>156869.41250000001</v>
      </c>
      <c r="O161" s="7">
        <f t="shared" si="191"/>
        <v>0</v>
      </c>
      <c r="P161" s="7">
        <f t="shared" si="191"/>
        <v>0</v>
      </c>
      <c r="Q161" s="7">
        <f t="shared" si="191"/>
        <v>0</v>
      </c>
      <c r="R161" s="80">
        <f t="shared" si="192"/>
        <v>156869.41250000001</v>
      </c>
    </row>
    <row r="162" spans="1:18" x14ac:dyDescent="0.35">
      <c r="A162" s="63" t="s">
        <v>108</v>
      </c>
      <c r="B162" s="7">
        <f>(B88+B89)*0.005</f>
        <v>36398.82</v>
      </c>
      <c r="C162" s="7"/>
      <c r="D162" s="7"/>
      <c r="E162" s="7"/>
      <c r="F162" s="80">
        <f t="shared" si="189"/>
        <v>36398.82</v>
      </c>
      <c r="H162" s="7">
        <f>(H88+H89)*0.005</f>
        <v>26348.945</v>
      </c>
      <c r="I162" s="7"/>
      <c r="J162" s="7"/>
      <c r="K162" s="7"/>
      <c r="L162" s="80">
        <f t="shared" si="190"/>
        <v>26348.945</v>
      </c>
      <c r="N162" s="7">
        <f t="shared" si="191"/>
        <v>62747.764999999999</v>
      </c>
      <c r="O162" s="7">
        <f t="shared" si="191"/>
        <v>0</v>
      </c>
      <c r="P162" s="7">
        <f t="shared" si="191"/>
        <v>0</v>
      </c>
      <c r="Q162" s="7">
        <f t="shared" si="191"/>
        <v>0</v>
      </c>
      <c r="R162" s="80">
        <f t="shared" si="192"/>
        <v>62747.764999999999</v>
      </c>
    </row>
    <row r="163" spans="1:18" x14ac:dyDescent="0.35">
      <c r="A163" s="63" t="s">
        <v>109</v>
      </c>
      <c r="B163" s="7">
        <f>(B88+B89)*0.005</f>
        <v>36398.82</v>
      </c>
      <c r="C163" s="7"/>
      <c r="D163" s="7"/>
      <c r="E163" s="7"/>
      <c r="F163" s="80">
        <f t="shared" si="189"/>
        <v>36398.82</v>
      </c>
      <c r="H163" s="7">
        <f>(H88+H89)*0.005</f>
        <v>26348.945</v>
      </c>
      <c r="I163" s="7"/>
      <c r="J163" s="7"/>
      <c r="K163" s="7"/>
      <c r="L163" s="80">
        <f t="shared" si="190"/>
        <v>26348.945</v>
      </c>
      <c r="N163" s="7">
        <f t="shared" si="191"/>
        <v>62747.764999999999</v>
      </c>
      <c r="O163" s="7">
        <f t="shared" si="191"/>
        <v>0</v>
      </c>
      <c r="P163" s="7">
        <f t="shared" si="191"/>
        <v>0</v>
      </c>
      <c r="Q163" s="7">
        <f t="shared" si="191"/>
        <v>0</v>
      </c>
      <c r="R163" s="80">
        <f t="shared" si="192"/>
        <v>62747.764999999999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91"/>
        <v>0</v>
      </c>
      <c r="O164" s="7">
        <f t="shared" si="191"/>
        <v>0</v>
      </c>
      <c r="P164" s="7">
        <f t="shared" si="191"/>
        <v>0</v>
      </c>
      <c r="Q164" s="7">
        <f t="shared" si="191"/>
        <v>0</v>
      </c>
      <c r="R164" s="81"/>
    </row>
    <row r="165" spans="1:18" ht="15" thickBot="1" x14ac:dyDescent="0.4">
      <c r="A165" s="95" t="s">
        <v>111</v>
      </c>
      <c r="B165" s="92">
        <f>SUM(B152:B164)</f>
        <v>700392.5149999999</v>
      </c>
      <c r="C165" s="92">
        <f t="shared" ref="C165" si="193">SUM(C152:C164)</f>
        <v>12875</v>
      </c>
      <c r="D165" s="92">
        <f>SUM(D152:D164)</f>
        <v>258960</v>
      </c>
      <c r="E165" s="92">
        <f t="shared" ref="E165:F165" si="194">SUM(E152:E164)</f>
        <v>0</v>
      </c>
      <c r="F165" s="92">
        <f t="shared" si="194"/>
        <v>972227.5149999999</v>
      </c>
      <c r="H165" s="92">
        <f>SUM(H152:H164)</f>
        <v>518943.07750000001</v>
      </c>
      <c r="I165" s="92">
        <f t="shared" ref="I165" si="195">SUM(I152:I164)</f>
        <v>12875</v>
      </c>
      <c r="J165" s="92">
        <f>SUM(J152:J164)</f>
        <v>169435</v>
      </c>
      <c r="K165" s="92">
        <f t="shared" ref="K165:L165" si="196">SUM(K152:K164)</f>
        <v>0</v>
      </c>
      <c r="L165" s="92">
        <f t="shared" si="196"/>
        <v>701253.0774999999</v>
      </c>
      <c r="N165" s="92">
        <f>SUM(N152:N164)</f>
        <v>1219335.5924999998</v>
      </c>
      <c r="O165" s="92">
        <f t="shared" ref="O165" si="197">SUM(O152:O164)</f>
        <v>25750</v>
      </c>
      <c r="P165" s="92">
        <f>SUM(P152:P164)</f>
        <v>428395</v>
      </c>
      <c r="Q165" s="92">
        <f t="shared" ref="Q165:R165" si="198">SUM(Q152:Q164)</f>
        <v>0</v>
      </c>
      <c r="R165" s="92">
        <f t="shared" si="198"/>
        <v>1673480.5924999998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199">C151</f>
        <v>Weights</v>
      </c>
      <c r="D166" s="153" t="str">
        <f>D151</f>
        <v>SPED</v>
      </c>
      <c r="E166" s="153" t="str">
        <f t="shared" ref="E166:F166" si="200">E151</f>
        <v>NSLP</v>
      </c>
      <c r="F166" s="153" t="str">
        <f t="shared" si="200"/>
        <v>Mt. Rose</v>
      </c>
      <c r="H166" s="153" t="str">
        <f>H151</f>
        <v>Operating</v>
      </c>
      <c r="I166" s="153" t="str">
        <f t="shared" ref="I166" si="201">I151</f>
        <v>Weights</v>
      </c>
      <c r="J166" s="153" t="str">
        <f>J151</f>
        <v>SPED</v>
      </c>
      <c r="K166" s="153" t="str">
        <f t="shared" ref="K166:L166" si="202">K151</f>
        <v>NSLP</v>
      </c>
      <c r="L166" s="153" t="str">
        <f t="shared" si="202"/>
        <v>New Campus</v>
      </c>
      <c r="N166" s="153" t="str">
        <f>N151</f>
        <v>Operating</v>
      </c>
      <c r="O166" s="153" t="str">
        <f t="shared" ref="O166" si="203">O151</f>
        <v>Weights</v>
      </c>
      <c r="P166" s="153" t="str">
        <f>P151</f>
        <v>SPED</v>
      </c>
      <c r="Q166" s="153" t="str">
        <f t="shared" ref="Q166:R166" si="204">Q151</f>
        <v>NSLP</v>
      </c>
      <c r="R166" s="153" t="str">
        <f t="shared" si="204"/>
        <v>DANN Total</v>
      </c>
    </row>
    <row r="167" spans="1:18" x14ac:dyDescent="0.35">
      <c r="A167" s="63" t="s">
        <v>113</v>
      </c>
      <c r="B167" s="15">
        <f>'FY24'!B167*1.02</f>
        <v>17587.044000000002</v>
      </c>
      <c r="C167" s="15"/>
      <c r="D167" s="7"/>
      <c r="E167" s="7"/>
      <c r="F167" s="7">
        <f t="shared" ref="F167:F173" si="205">SUM(B167:E167)</f>
        <v>17587.044000000002</v>
      </c>
      <c r="H167" s="15">
        <f>(1320*12+(75*12))*1.03*1.04</f>
        <v>17931.888000000003</v>
      </c>
      <c r="I167" s="15"/>
      <c r="J167" s="7"/>
      <c r="K167" s="7"/>
      <c r="L167" s="7">
        <f t="shared" ref="L167:L173" si="206">SUM(H167:K167)</f>
        <v>17931.888000000003</v>
      </c>
      <c r="N167" s="7">
        <f t="shared" ref="N167:Q173" si="207">B167+H167</f>
        <v>35518.932000000001</v>
      </c>
      <c r="O167" s="7">
        <f t="shared" si="207"/>
        <v>0</v>
      </c>
      <c r="P167" s="7">
        <f t="shared" si="207"/>
        <v>0</v>
      </c>
      <c r="Q167" s="7">
        <f t="shared" si="207"/>
        <v>0</v>
      </c>
      <c r="R167" s="7">
        <f t="shared" ref="R167:R173" si="208">SUM(N167:Q167)</f>
        <v>35518.932000000001</v>
      </c>
    </row>
    <row r="168" spans="1:18" x14ac:dyDescent="0.35">
      <c r="A168" s="63" t="s">
        <v>114</v>
      </c>
      <c r="B168" s="15">
        <f>'FY24'!B168*1.02</f>
        <v>4097.34</v>
      </c>
      <c r="C168" s="15"/>
      <c r="D168" s="7"/>
      <c r="E168" s="7"/>
      <c r="F168" s="7">
        <f t="shared" si="205"/>
        <v>4097.34</v>
      </c>
      <c r="H168" s="15">
        <f>(325*12)*1.03*1.04</f>
        <v>4177.68</v>
      </c>
      <c r="I168" s="15"/>
      <c r="J168" s="7"/>
      <c r="K168" s="7"/>
      <c r="L168" s="7">
        <f t="shared" si="206"/>
        <v>4177.68</v>
      </c>
      <c r="N168" s="7">
        <f t="shared" si="207"/>
        <v>8275.02</v>
      </c>
      <c r="O168" s="7">
        <f t="shared" si="207"/>
        <v>0</v>
      </c>
      <c r="P168" s="7">
        <f t="shared" si="207"/>
        <v>0</v>
      </c>
      <c r="Q168" s="7">
        <f t="shared" si="207"/>
        <v>0</v>
      </c>
      <c r="R168" s="7">
        <f t="shared" si="208"/>
        <v>8275.02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5"/>
        <v>0</v>
      </c>
      <c r="H169" s="7"/>
      <c r="I169" s="7"/>
      <c r="J169" s="7"/>
      <c r="K169" s="7"/>
      <c r="L169" s="7">
        <f t="shared" si="206"/>
        <v>0</v>
      </c>
      <c r="N169" s="7">
        <f t="shared" si="207"/>
        <v>0</v>
      </c>
      <c r="O169" s="7">
        <f t="shared" si="207"/>
        <v>0</v>
      </c>
      <c r="P169" s="7">
        <f t="shared" si="207"/>
        <v>0</v>
      </c>
      <c r="Q169" s="7">
        <f t="shared" si="207"/>
        <v>0</v>
      </c>
      <c r="R169" s="7">
        <f t="shared" si="208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5"/>
        <v>800</v>
      </c>
      <c r="H170" s="7">
        <v>700</v>
      </c>
      <c r="I170" s="7"/>
      <c r="J170" s="7"/>
      <c r="K170" s="7"/>
      <c r="L170" s="7">
        <f t="shared" si="206"/>
        <v>700</v>
      </c>
      <c r="N170" s="7">
        <f t="shared" si="207"/>
        <v>1500</v>
      </c>
      <c r="O170" s="7">
        <f t="shared" si="207"/>
        <v>0</v>
      </c>
      <c r="P170" s="7">
        <f t="shared" si="207"/>
        <v>0</v>
      </c>
      <c r="Q170" s="7">
        <f t="shared" si="207"/>
        <v>0</v>
      </c>
      <c r="R170" s="7">
        <f t="shared" si="208"/>
        <v>1500</v>
      </c>
    </row>
    <row r="171" spans="1:18" x14ac:dyDescent="0.35">
      <c r="A171" s="63" t="s">
        <v>117</v>
      </c>
      <c r="B171" s="7">
        <v>4800</v>
      </c>
      <c r="C171" s="7"/>
      <c r="D171" s="7"/>
      <c r="E171" s="7"/>
      <c r="F171" s="7">
        <f t="shared" si="205"/>
        <v>4800</v>
      </c>
      <c r="H171" s="7">
        <v>4800</v>
      </c>
      <c r="I171" s="7"/>
      <c r="J171" s="7"/>
      <c r="K171" s="7"/>
      <c r="L171" s="7">
        <f t="shared" si="206"/>
        <v>4800</v>
      </c>
      <c r="N171" s="7">
        <f t="shared" si="207"/>
        <v>9600</v>
      </c>
      <c r="O171" s="7">
        <f t="shared" si="207"/>
        <v>0</v>
      </c>
      <c r="P171" s="7">
        <f t="shared" si="207"/>
        <v>0</v>
      </c>
      <c r="Q171" s="7">
        <f t="shared" si="207"/>
        <v>0</v>
      </c>
      <c r="R171" s="7">
        <f t="shared" si="208"/>
        <v>9600</v>
      </c>
    </row>
    <row r="172" spans="1:18" x14ac:dyDescent="0.35">
      <c r="A172" s="63" t="s">
        <v>118</v>
      </c>
      <c r="B172" s="15">
        <f>30000*1.03*1.03</f>
        <v>31827</v>
      </c>
      <c r="C172" s="7"/>
      <c r="D172" s="7"/>
      <c r="E172" s="7"/>
      <c r="F172" s="7">
        <f t="shared" si="205"/>
        <v>31827</v>
      </c>
      <c r="H172" s="15">
        <f>30000*1.03*1.03</f>
        <v>31827</v>
      </c>
      <c r="I172" s="7"/>
      <c r="J172" s="7"/>
      <c r="K172" s="7"/>
      <c r="L172" s="7">
        <f t="shared" si="206"/>
        <v>31827</v>
      </c>
      <c r="N172" s="7">
        <f t="shared" si="207"/>
        <v>63654</v>
      </c>
      <c r="O172" s="7">
        <f t="shared" si="207"/>
        <v>0</v>
      </c>
      <c r="P172" s="7">
        <f t="shared" si="207"/>
        <v>0</v>
      </c>
      <c r="Q172" s="7">
        <f t="shared" si="207"/>
        <v>0</v>
      </c>
      <c r="R172" s="7">
        <f t="shared" si="208"/>
        <v>63654</v>
      </c>
    </row>
    <row r="173" spans="1:18" ht="15" thickBot="1" x14ac:dyDescent="0.4">
      <c r="A173" s="63" t="s">
        <v>119</v>
      </c>
      <c r="B173" s="7">
        <f>3200*1.03*1.03</f>
        <v>3394.88</v>
      </c>
      <c r="C173" s="7"/>
      <c r="D173" s="7"/>
      <c r="E173" s="7"/>
      <c r="F173" s="7">
        <f t="shared" si="205"/>
        <v>3394.88</v>
      </c>
      <c r="H173" s="7">
        <f>3200*1.03*1.03</f>
        <v>3394.88</v>
      </c>
      <c r="I173" s="7"/>
      <c r="J173" s="7"/>
      <c r="K173" s="7"/>
      <c r="L173" s="7">
        <f t="shared" si="206"/>
        <v>3394.88</v>
      </c>
      <c r="N173" s="7">
        <f t="shared" si="207"/>
        <v>6789.76</v>
      </c>
      <c r="O173" s="7">
        <f t="shared" si="207"/>
        <v>0</v>
      </c>
      <c r="P173" s="7">
        <f t="shared" si="207"/>
        <v>0</v>
      </c>
      <c r="Q173" s="7">
        <f t="shared" si="207"/>
        <v>0</v>
      </c>
      <c r="R173" s="7">
        <f t="shared" si="208"/>
        <v>6789.76</v>
      </c>
    </row>
    <row r="174" spans="1:18" ht="15" thickBot="1" x14ac:dyDescent="0.4">
      <c r="A174" s="95" t="s">
        <v>120</v>
      </c>
      <c r="B174" s="92">
        <f>SUM(B167:B173)</f>
        <v>62506.264000000003</v>
      </c>
      <c r="C174" s="92">
        <f t="shared" ref="C174:F174" si="209">SUM(C167:C173)</f>
        <v>0</v>
      </c>
      <c r="D174" s="92">
        <f t="shared" si="209"/>
        <v>0</v>
      </c>
      <c r="E174" s="92">
        <f t="shared" si="209"/>
        <v>0</v>
      </c>
      <c r="F174" s="92">
        <f t="shared" si="209"/>
        <v>62506.264000000003</v>
      </c>
      <c r="H174" s="92">
        <f>SUM(H167:H173)</f>
        <v>62831.447999999997</v>
      </c>
      <c r="I174" s="92">
        <f t="shared" ref="I174:L174" si="210">SUM(I167:I173)</f>
        <v>0</v>
      </c>
      <c r="J174" s="92">
        <f t="shared" si="210"/>
        <v>0</v>
      </c>
      <c r="K174" s="92">
        <f t="shared" si="210"/>
        <v>0</v>
      </c>
      <c r="L174" s="92">
        <f t="shared" si="210"/>
        <v>62831.447999999997</v>
      </c>
      <c r="N174" s="92">
        <f>SUM(N167:N173)</f>
        <v>125337.712</v>
      </c>
      <c r="O174" s="92">
        <f t="shared" ref="O174:R174" si="211">SUM(O167:O173)</f>
        <v>0</v>
      </c>
      <c r="P174" s="92">
        <f t="shared" si="211"/>
        <v>0</v>
      </c>
      <c r="Q174" s="92">
        <f t="shared" si="211"/>
        <v>0</v>
      </c>
      <c r="R174" s="92">
        <f t="shared" si="211"/>
        <v>125337.712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'FY24'!B176*1.06</f>
        <v>13595.560000000003</v>
      </c>
      <c r="C176" s="15"/>
      <c r="D176" s="15"/>
      <c r="E176" s="15"/>
      <c r="F176" s="15">
        <f>SUM(B176:E176)</f>
        <v>13595.560000000003</v>
      </c>
      <c r="H176" s="15">
        <f>(37525*1.06*1.06)*0.33</f>
        <v>13913.819700000002</v>
      </c>
      <c r="I176" s="15"/>
      <c r="J176" s="15"/>
      <c r="K176" s="15"/>
      <c r="L176" s="15">
        <f>SUM(H176:K176)</f>
        <v>13913.819700000002</v>
      </c>
      <c r="N176" s="7">
        <f t="shared" ref="N176:Q178" si="212">B176+H176</f>
        <v>27509.379700000005</v>
      </c>
      <c r="O176" s="7">
        <f t="shared" si="212"/>
        <v>0</v>
      </c>
      <c r="P176" s="7">
        <f t="shared" si="212"/>
        <v>0</v>
      </c>
      <c r="Q176" s="7">
        <f t="shared" si="212"/>
        <v>0</v>
      </c>
      <c r="R176" s="15">
        <f>SUM(N176:Q176)</f>
        <v>27509.379700000005</v>
      </c>
    </row>
    <row r="177" spans="1:18" x14ac:dyDescent="0.35">
      <c r="A177" s="63" t="s">
        <v>122</v>
      </c>
      <c r="B177" s="15">
        <f>'FY24'!B177*1.06</f>
        <v>12359.6</v>
      </c>
      <c r="C177" s="7"/>
      <c r="D177" s="7"/>
      <c r="E177" s="7"/>
      <c r="F177" s="15">
        <f>SUM(B177:E177)</f>
        <v>12359.6</v>
      </c>
      <c r="H177" s="15">
        <f>(37525*1.06*1.06)*0.33</f>
        <v>13913.819700000002</v>
      </c>
      <c r="I177" s="7"/>
      <c r="J177" s="7"/>
      <c r="K177" s="7"/>
      <c r="L177" s="15">
        <f>SUM(H177:K177)</f>
        <v>13913.819700000002</v>
      </c>
      <c r="N177" s="7">
        <f t="shared" si="212"/>
        <v>26273.419700000002</v>
      </c>
      <c r="O177" s="7">
        <f t="shared" si="212"/>
        <v>0</v>
      </c>
      <c r="P177" s="7">
        <f t="shared" si="212"/>
        <v>0</v>
      </c>
      <c r="Q177" s="7">
        <f t="shared" si="212"/>
        <v>0</v>
      </c>
      <c r="R177" s="15">
        <f>SUM(N177:Q177)</f>
        <v>26273.419700000002</v>
      </c>
    </row>
    <row r="178" spans="1:18" ht="15" thickBot="1" x14ac:dyDescent="0.4">
      <c r="A178" s="63" t="s">
        <v>123</v>
      </c>
      <c r="B178" s="15">
        <f>'FY24'!B178*1.06</f>
        <v>21629.3</v>
      </c>
      <c r="C178" s="7"/>
      <c r="D178" s="7"/>
      <c r="E178" s="7"/>
      <c r="F178" s="15">
        <f>SUM(B178:E178)</f>
        <v>21629.3</v>
      </c>
      <c r="H178" s="15">
        <f>(37525*1.06*1.06)*0.33</f>
        <v>13913.819700000002</v>
      </c>
      <c r="I178" s="7"/>
      <c r="J178" s="7"/>
      <c r="K178" s="7"/>
      <c r="L178" s="15">
        <f>SUM(H178:K178)</f>
        <v>13913.819700000002</v>
      </c>
      <c r="N178" s="7">
        <f t="shared" si="212"/>
        <v>35543.119700000003</v>
      </c>
      <c r="O178" s="7">
        <f t="shared" si="212"/>
        <v>0</v>
      </c>
      <c r="P178" s="7">
        <f t="shared" si="212"/>
        <v>0</v>
      </c>
      <c r="Q178" s="7">
        <f t="shared" si="212"/>
        <v>0</v>
      </c>
      <c r="R178" s="15">
        <f>SUM(N178:Q178)</f>
        <v>35543.119700000003</v>
      </c>
    </row>
    <row r="179" spans="1:18" ht="15" thickBot="1" x14ac:dyDescent="0.4">
      <c r="A179" s="95" t="s">
        <v>124</v>
      </c>
      <c r="B179" s="92">
        <f>SUM(B176:B178)</f>
        <v>47584.460000000006</v>
      </c>
      <c r="C179" s="92">
        <f t="shared" ref="C179:F179" si="213">SUM(C176:C178)</f>
        <v>0</v>
      </c>
      <c r="D179" s="92">
        <f t="shared" si="213"/>
        <v>0</v>
      </c>
      <c r="E179" s="92">
        <f t="shared" si="213"/>
        <v>0</v>
      </c>
      <c r="F179" s="92">
        <f t="shared" si="213"/>
        <v>47584.460000000006</v>
      </c>
      <c r="H179" s="92">
        <f>SUM(H176:H178)</f>
        <v>41741.459100000007</v>
      </c>
      <c r="I179" s="92">
        <f t="shared" ref="I179:L179" si="214">SUM(I176:I178)</f>
        <v>0</v>
      </c>
      <c r="J179" s="92">
        <f t="shared" si="214"/>
        <v>0</v>
      </c>
      <c r="K179" s="92">
        <f t="shared" si="214"/>
        <v>0</v>
      </c>
      <c r="L179" s="92">
        <f t="shared" si="214"/>
        <v>41741.459100000007</v>
      </c>
      <c r="N179" s="92">
        <f>SUM(N176:N178)</f>
        <v>89325.919099999999</v>
      </c>
      <c r="O179" s="92">
        <f t="shared" ref="O179:R179" si="215">SUM(O176:O178)</f>
        <v>0</v>
      </c>
      <c r="P179" s="92">
        <f t="shared" si="215"/>
        <v>0</v>
      </c>
      <c r="Q179" s="92">
        <f t="shared" si="215"/>
        <v>0</v>
      </c>
      <c r="R179" s="92">
        <f t="shared" si="215"/>
        <v>89325.919099999999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6">C1</f>
        <v>Weights</v>
      </c>
      <c r="D180" s="96" t="str">
        <f>D1</f>
        <v>SPED</v>
      </c>
      <c r="E180" s="96" t="str">
        <f t="shared" ref="E180:F180" si="217">E1</f>
        <v>NSLP</v>
      </c>
      <c r="F180" s="96" t="str">
        <f t="shared" si="217"/>
        <v>Mt. Rose</v>
      </c>
      <c r="H180" s="96" t="str">
        <f>H1</f>
        <v>Operating</v>
      </c>
      <c r="I180" s="96" t="str">
        <f t="shared" ref="I180" si="218">I1</f>
        <v>Weights</v>
      </c>
      <c r="J180" s="96" t="str">
        <f>J1</f>
        <v>SPED</v>
      </c>
      <c r="K180" s="96" t="str">
        <f t="shared" ref="K180:L180" si="219">K1</f>
        <v>NSLP</v>
      </c>
      <c r="L180" s="96" t="str">
        <f t="shared" si="219"/>
        <v>New Campus</v>
      </c>
      <c r="N180" s="96" t="str">
        <f>N1</f>
        <v>Operating</v>
      </c>
      <c r="O180" s="96" t="str">
        <f t="shared" ref="O180" si="220">O1</f>
        <v>Weights</v>
      </c>
      <c r="P180" s="96" t="str">
        <f>P1</f>
        <v>SPED</v>
      </c>
      <c r="Q180" s="96" t="str">
        <f t="shared" ref="Q180:R180" si="221">Q1</f>
        <v>NSLP</v>
      </c>
      <c r="R180" s="96" t="str">
        <f t="shared" si="221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((B19*E25)*3.6*180)+1000</f>
        <v>65540.800000000017</v>
      </c>
      <c r="F181" s="14">
        <f t="shared" ref="F181:F189" si="222">SUM(B181:E181)</f>
        <v>65540.800000000017</v>
      </c>
      <c r="H181" s="146">
        <v>0</v>
      </c>
      <c r="I181" s="146"/>
      <c r="J181" s="146"/>
      <c r="K181" s="14">
        <f>((H19*K25)*3.6*180)+1000</f>
        <v>257964.40000000002</v>
      </c>
      <c r="L181" s="14">
        <f t="shared" ref="L181:L189" si="223">SUM(H181:K181)</f>
        <v>257964.40000000002</v>
      </c>
      <c r="N181" s="7">
        <f t="shared" ref="N181:Q189" si="224">B181+H181</f>
        <v>0</v>
      </c>
      <c r="O181" s="7">
        <f t="shared" si="224"/>
        <v>0</v>
      </c>
      <c r="P181" s="7">
        <f t="shared" si="224"/>
        <v>0</v>
      </c>
      <c r="Q181" s="7">
        <f t="shared" si="224"/>
        <v>323505.20000000007</v>
      </c>
      <c r="R181" s="14">
        <f t="shared" ref="R181:R189" si="225">SUM(N181:Q181)</f>
        <v>323505.20000000007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2"/>
        <v>1500</v>
      </c>
      <c r="H182" s="7">
        <v>5000</v>
      </c>
      <c r="I182" s="7"/>
      <c r="J182" s="7"/>
      <c r="K182" s="7"/>
      <c r="L182" s="14">
        <f t="shared" si="223"/>
        <v>5000</v>
      </c>
      <c r="N182" s="7">
        <f t="shared" si="224"/>
        <v>6500</v>
      </c>
      <c r="O182" s="7">
        <f t="shared" si="224"/>
        <v>0</v>
      </c>
      <c r="P182" s="7">
        <f t="shared" si="224"/>
        <v>0</v>
      </c>
      <c r="Q182" s="7">
        <f t="shared" si="224"/>
        <v>0</v>
      </c>
      <c r="R182" s="14">
        <f t="shared" si="225"/>
        <v>6500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2"/>
        <v>1250</v>
      </c>
      <c r="H183" s="7">
        <v>1250</v>
      </c>
      <c r="I183" s="7"/>
      <c r="J183" s="7"/>
      <c r="K183" s="7"/>
      <c r="L183" s="14">
        <f t="shared" si="223"/>
        <v>1250</v>
      </c>
      <c r="N183" s="7">
        <f t="shared" si="224"/>
        <v>2500</v>
      </c>
      <c r="O183" s="7">
        <f t="shared" si="224"/>
        <v>0</v>
      </c>
      <c r="P183" s="7">
        <f t="shared" si="224"/>
        <v>0</v>
      </c>
      <c r="Q183" s="7">
        <f t="shared" si="224"/>
        <v>0</v>
      </c>
      <c r="R183" s="14">
        <f t="shared" si="225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2"/>
        <v>750</v>
      </c>
      <c r="H184" s="7">
        <f>75*10</f>
        <v>750</v>
      </c>
      <c r="I184" s="7"/>
      <c r="J184" s="7"/>
      <c r="K184" s="7"/>
      <c r="L184" s="14">
        <f t="shared" si="223"/>
        <v>750</v>
      </c>
      <c r="N184" s="7">
        <f t="shared" si="224"/>
        <v>1500</v>
      </c>
      <c r="O184" s="7">
        <f t="shared" si="224"/>
        <v>0</v>
      </c>
      <c r="P184" s="7">
        <f t="shared" si="224"/>
        <v>0</v>
      </c>
      <c r="Q184" s="7">
        <f t="shared" si="224"/>
        <v>0</v>
      </c>
      <c r="R184" s="14">
        <f t="shared" si="225"/>
        <v>1500</v>
      </c>
    </row>
    <row r="185" spans="1:18" x14ac:dyDescent="0.35">
      <c r="A185" s="63" t="s">
        <v>130</v>
      </c>
      <c r="B185" s="15">
        <v>11500</v>
      </c>
      <c r="C185" s="15"/>
      <c r="D185" s="15"/>
      <c r="E185" s="15"/>
      <c r="F185" s="14">
        <f t="shared" si="222"/>
        <v>11500</v>
      </c>
      <c r="H185" s="15">
        <v>6500</v>
      </c>
      <c r="I185" s="15"/>
      <c r="J185" s="15"/>
      <c r="K185" s="15"/>
      <c r="L185" s="14">
        <f t="shared" si="223"/>
        <v>6500</v>
      </c>
      <c r="N185" s="7">
        <f t="shared" si="224"/>
        <v>18000</v>
      </c>
      <c r="O185" s="7">
        <f t="shared" si="224"/>
        <v>0</v>
      </c>
      <c r="P185" s="7">
        <f t="shared" si="224"/>
        <v>0</v>
      </c>
      <c r="Q185" s="7">
        <f t="shared" si="224"/>
        <v>0</v>
      </c>
      <c r="R185" s="14">
        <f t="shared" si="225"/>
        <v>18000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2"/>
        <v>0</v>
      </c>
      <c r="H186" s="159"/>
      <c r="I186" s="152"/>
      <c r="J186" s="152"/>
      <c r="K186" s="152"/>
      <c r="L186" s="14">
        <f t="shared" si="223"/>
        <v>0</v>
      </c>
      <c r="N186" s="7">
        <f t="shared" si="224"/>
        <v>0</v>
      </c>
      <c r="O186" s="7">
        <f t="shared" si="224"/>
        <v>0</v>
      </c>
      <c r="P186" s="7">
        <f t="shared" si="224"/>
        <v>0</v>
      </c>
      <c r="Q186" s="7">
        <f t="shared" si="224"/>
        <v>0</v>
      </c>
      <c r="R186" s="14">
        <f t="shared" si="225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2"/>
        <v>0</v>
      </c>
      <c r="H187" s="159"/>
      <c r="I187" s="15"/>
      <c r="J187" s="15"/>
      <c r="K187" s="15"/>
      <c r="L187" s="14">
        <f t="shared" si="223"/>
        <v>0</v>
      </c>
      <c r="N187" s="7">
        <f t="shared" si="224"/>
        <v>0</v>
      </c>
      <c r="O187" s="7">
        <f t="shared" si="224"/>
        <v>0</v>
      </c>
      <c r="P187" s="7">
        <f t="shared" si="224"/>
        <v>0</v>
      </c>
      <c r="Q187" s="7">
        <f t="shared" si="224"/>
        <v>0</v>
      </c>
      <c r="R187" s="14">
        <f t="shared" si="225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2"/>
        <v>0</v>
      </c>
      <c r="H188" s="159"/>
      <c r="I188" s="15"/>
      <c r="J188" s="15"/>
      <c r="K188" s="15"/>
      <c r="L188" s="14">
        <f t="shared" si="223"/>
        <v>0</v>
      </c>
      <c r="N188" s="7">
        <f t="shared" si="224"/>
        <v>0</v>
      </c>
      <c r="O188" s="7">
        <f t="shared" si="224"/>
        <v>0</v>
      </c>
      <c r="P188" s="7">
        <f t="shared" si="224"/>
        <v>0</v>
      </c>
      <c r="Q188" s="7">
        <f t="shared" si="224"/>
        <v>0</v>
      </c>
      <c r="R188" s="14">
        <f t="shared" si="225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2"/>
        <v>1750</v>
      </c>
      <c r="H189" s="7">
        <v>1750</v>
      </c>
      <c r="I189" s="7"/>
      <c r="J189" s="7"/>
      <c r="K189" s="7"/>
      <c r="L189" s="14">
        <f t="shared" si="223"/>
        <v>1750</v>
      </c>
      <c r="N189" s="7">
        <f t="shared" si="224"/>
        <v>3500</v>
      </c>
      <c r="O189" s="7">
        <f t="shared" si="224"/>
        <v>0</v>
      </c>
      <c r="P189" s="7">
        <f t="shared" si="224"/>
        <v>0</v>
      </c>
      <c r="Q189" s="7">
        <f t="shared" si="224"/>
        <v>0</v>
      </c>
      <c r="R189" s="14">
        <f t="shared" si="225"/>
        <v>3500</v>
      </c>
    </row>
    <row r="190" spans="1:18" ht="15" thickBot="1" x14ac:dyDescent="0.4">
      <c r="A190" s="95" t="s">
        <v>135</v>
      </c>
      <c r="B190" s="92">
        <f>SUM(B181:B189)</f>
        <v>16750</v>
      </c>
      <c r="C190" s="92">
        <f t="shared" ref="C190:F190" si="226">SUM(C181:C189)</f>
        <v>0</v>
      </c>
      <c r="D190" s="92">
        <f t="shared" si="226"/>
        <v>0</v>
      </c>
      <c r="E190" s="92">
        <f t="shared" si="226"/>
        <v>65540.800000000017</v>
      </c>
      <c r="F190" s="92">
        <f t="shared" si="226"/>
        <v>82290.800000000017</v>
      </c>
      <c r="H190" s="92">
        <f>SUM(H181:H189)</f>
        <v>15250</v>
      </c>
      <c r="I190" s="92">
        <f t="shared" ref="I190:L190" si="227">SUM(I181:I189)</f>
        <v>0</v>
      </c>
      <c r="J190" s="92">
        <f t="shared" si="227"/>
        <v>0</v>
      </c>
      <c r="K190" s="92">
        <f t="shared" si="227"/>
        <v>257964.40000000002</v>
      </c>
      <c r="L190" s="92">
        <f t="shared" si="227"/>
        <v>273214.40000000002</v>
      </c>
      <c r="N190" s="92">
        <f>SUM(N181:N189)</f>
        <v>32000</v>
      </c>
      <c r="O190" s="92">
        <f t="shared" ref="O190:R190" si="228">SUM(O181:O189)</f>
        <v>0</v>
      </c>
      <c r="P190" s="92">
        <f t="shared" si="228"/>
        <v>0</v>
      </c>
      <c r="Q190" s="92">
        <f t="shared" si="228"/>
        <v>323505.20000000007</v>
      </c>
      <c r="R190" s="92">
        <f t="shared" si="228"/>
        <v>355505.20000000007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29">C180</f>
        <v>Weights</v>
      </c>
      <c r="D191" s="77" t="str">
        <f>D180</f>
        <v>SPED</v>
      </c>
      <c r="E191" s="77" t="str">
        <f t="shared" ref="E191:F191" si="230">E180</f>
        <v>NSLP</v>
      </c>
      <c r="F191" s="77" t="str">
        <f t="shared" si="230"/>
        <v>Mt. Rose</v>
      </c>
      <c r="H191" s="77" t="str">
        <f>H180</f>
        <v>Operating</v>
      </c>
      <c r="I191" s="77" t="str">
        <f t="shared" ref="I191" si="231">I180</f>
        <v>Weights</v>
      </c>
      <c r="J191" s="77" t="str">
        <f>J180</f>
        <v>SPED</v>
      </c>
      <c r="K191" s="77" t="str">
        <f t="shared" ref="K191:L191" si="232">K180</f>
        <v>NSLP</v>
      </c>
      <c r="L191" s="77" t="str">
        <f t="shared" si="232"/>
        <v>New Campus</v>
      </c>
      <c r="N191" s="77" t="str">
        <f>N180</f>
        <v>Operating</v>
      </c>
      <c r="O191" s="77" t="str">
        <f t="shared" ref="O191" si="233">O180</f>
        <v>Weights</v>
      </c>
      <c r="P191" s="77" t="str">
        <f>P180</f>
        <v>SPED</v>
      </c>
      <c r="Q191" s="77" t="str">
        <f t="shared" ref="Q191:R191" si="234">Q180</f>
        <v>NSLP</v>
      </c>
      <c r="R191" s="77" t="str">
        <f t="shared" si="234"/>
        <v>DANN Total</v>
      </c>
    </row>
    <row r="192" spans="1:18" x14ac:dyDescent="0.35">
      <c r="A192" s="63" t="s">
        <v>137</v>
      </c>
      <c r="B192" s="62">
        <f>'FY24'!B192*1.03</f>
        <v>63654</v>
      </c>
      <c r="C192" s="62"/>
      <c r="D192" s="62"/>
      <c r="E192" s="62"/>
      <c r="F192" s="62">
        <f t="shared" ref="F192:F202" si="235">SUM(B192:E192)</f>
        <v>63654</v>
      </c>
      <c r="H192" s="62">
        <f>(3675*12)*1.04*1.04*0.7</f>
        <v>33388.991999999998</v>
      </c>
      <c r="I192" s="62"/>
      <c r="J192" s="62"/>
      <c r="K192" s="62"/>
      <c r="L192" s="62">
        <f t="shared" ref="L192:L202" si="236">SUM(H192:K192)</f>
        <v>33388.991999999998</v>
      </c>
      <c r="N192" s="7">
        <f t="shared" ref="N192:Q202" si="237">B192+H192</f>
        <v>97042.991999999998</v>
      </c>
      <c r="O192" s="7">
        <f t="shared" si="237"/>
        <v>0</v>
      </c>
      <c r="P192" s="7">
        <f t="shared" si="237"/>
        <v>0</v>
      </c>
      <c r="Q192" s="7">
        <f t="shared" si="237"/>
        <v>0</v>
      </c>
      <c r="R192" s="62">
        <f t="shared" ref="R192:R202" si="238">SUM(N192:Q192)</f>
        <v>97042.991999999998</v>
      </c>
    </row>
    <row r="193" spans="1:18" x14ac:dyDescent="0.35">
      <c r="A193" s="63" t="s">
        <v>138</v>
      </c>
      <c r="B193" s="62">
        <f>'FY24'!B193*1.03</f>
        <v>4031.42</v>
      </c>
      <c r="C193" s="15"/>
      <c r="D193" s="15"/>
      <c r="E193" s="15"/>
      <c r="F193" s="62">
        <f t="shared" si="235"/>
        <v>4031.42</v>
      </c>
      <c r="H193" s="15">
        <v>0</v>
      </c>
      <c r="I193" s="15"/>
      <c r="J193" s="15"/>
      <c r="K193" s="15"/>
      <c r="L193" s="62">
        <f t="shared" si="236"/>
        <v>0</v>
      </c>
      <c r="N193" s="7">
        <f t="shared" si="237"/>
        <v>4031.42</v>
      </c>
      <c r="O193" s="7">
        <f t="shared" si="237"/>
        <v>0</v>
      </c>
      <c r="P193" s="7">
        <f t="shared" si="237"/>
        <v>0</v>
      </c>
      <c r="Q193" s="7">
        <f t="shared" si="237"/>
        <v>0</v>
      </c>
      <c r="R193" s="62">
        <f t="shared" si="238"/>
        <v>4031.42</v>
      </c>
    </row>
    <row r="194" spans="1:18" x14ac:dyDescent="0.35">
      <c r="A194" s="63" t="s">
        <v>139</v>
      </c>
      <c r="B194" s="62">
        <f>'FY24'!B194*1.03</f>
        <v>6365.4000000000005</v>
      </c>
      <c r="C194" s="7"/>
      <c r="D194" s="7"/>
      <c r="E194" s="7"/>
      <c r="F194" s="62">
        <f t="shared" si="235"/>
        <v>6365.4000000000005</v>
      </c>
      <c r="H194" s="7">
        <f>(350*12)*1.04*1.04</f>
        <v>4542.72</v>
      </c>
      <c r="I194" s="7"/>
      <c r="J194" s="7"/>
      <c r="K194" s="7"/>
      <c r="L194" s="62">
        <f t="shared" si="236"/>
        <v>4542.72</v>
      </c>
      <c r="N194" s="7">
        <f t="shared" si="237"/>
        <v>10908.12</v>
      </c>
      <c r="O194" s="7">
        <f t="shared" si="237"/>
        <v>0</v>
      </c>
      <c r="P194" s="7">
        <f t="shared" si="237"/>
        <v>0</v>
      </c>
      <c r="Q194" s="7">
        <f t="shared" si="237"/>
        <v>0</v>
      </c>
      <c r="R194" s="62">
        <f t="shared" si="238"/>
        <v>10908.12</v>
      </c>
    </row>
    <row r="195" spans="1:18" x14ac:dyDescent="0.35">
      <c r="A195" s="63" t="s">
        <v>140</v>
      </c>
      <c r="B195" s="62">
        <f>'FY24'!B195*1.03</f>
        <v>25461.600000000002</v>
      </c>
      <c r="C195" s="7"/>
      <c r="D195" s="7"/>
      <c r="E195" s="7"/>
      <c r="F195" s="62">
        <f t="shared" si="235"/>
        <v>25461.600000000002</v>
      </c>
      <c r="H195" s="7">
        <f>((165*12)+(845*12)+3500)*1.04*1.04*0.7</f>
        <v>11826.214399999999</v>
      </c>
      <c r="I195" s="7"/>
      <c r="J195" s="7"/>
      <c r="K195" s="7"/>
      <c r="L195" s="62">
        <f t="shared" si="236"/>
        <v>11826.214399999999</v>
      </c>
      <c r="N195" s="7">
        <f t="shared" si="237"/>
        <v>37287.814400000003</v>
      </c>
      <c r="O195" s="7">
        <f t="shared" si="237"/>
        <v>0</v>
      </c>
      <c r="P195" s="7">
        <f t="shared" si="237"/>
        <v>0</v>
      </c>
      <c r="Q195" s="7">
        <f t="shared" si="237"/>
        <v>0</v>
      </c>
      <c r="R195" s="62">
        <f t="shared" si="238"/>
        <v>37287.814400000003</v>
      </c>
    </row>
    <row r="196" spans="1:18" x14ac:dyDescent="0.35">
      <c r="A196" s="63" t="s">
        <v>141</v>
      </c>
      <c r="B196" s="62">
        <f>'FY24'!B196*1.03</f>
        <v>7426.3</v>
      </c>
      <c r="C196" s="7"/>
      <c r="D196" s="7"/>
      <c r="E196" s="7"/>
      <c r="F196" s="62">
        <f t="shared" si="235"/>
        <v>7426.3</v>
      </c>
      <c r="H196" s="7">
        <f>((270*12)+(105*12)+2500)*1.03*1.03</f>
        <v>7426.3</v>
      </c>
      <c r="I196" s="7"/>
      <c r="J196" s="7"/>
      <c r="K196" s="7"/>
      <c r="L196" s="62">
        <f t="shared" si="236"/>
        <v>7426.3</v>
      </c>
      <c r="N196" s="7">
        <f t="shared" si="237"/>
        <v>14852.6</v>
      </c>
      <c r="O196" s="7">
        <f t="shared" si="237"/>
        <v>0</v>
      </c>
      <c r="P196" s="7">
        <f t="shared" si="237"/>
        <v>0</v>
      </c>
      <c r="Q196" s="7">
        <f t="shared" si="237"/>
        <v>0</v>
      </c>
      <c r="R196" s="62">
        <f t="shared" si="238"/>
        <v>14852.6</v>
      </c>
    </row>
    <row r="197" spans="1:18" x14ac:dyDescent="0.35">
      <c r="A197" s="63" t="s">
        <v>142</v>
      </c>
      <c r="B197" s="62">
        <f>'FY24'!B197*1.03</f>
        <v>115248.96188</v>
      </c>
      <c r="C197" s="11"/>
      <c r="D197" s="11"/>
      <c r="E197" s="11"/>
      <c r="F197" s="62">
        <f t="shared" si="235"/>
        <v>115248.96188</v>
      </c>
      <c r="G197" s="198"/>
      <c r="H197" s="15">
        <f>(11250*12)*1.03*0.7</f>
        <v>97335</v>
      </c>
      <c r="I197" s="11"/>
      <c r="J197" s="11"/>
      <c r="K197" s="11"/>
      <c r="L197" s="62">
        <f t="shared" si="236"/>
        <v>97335</v>
      </c>
      <c r="N197" s="7">
        <f t="shared" si="237"/>
        <v>212583.96188000002</v>
      </c>
      <c r="O197" s="7">
        <f t="shared" si="237"/>
        <v>0</v>
      </c>
      <c r="P197" s="7">
        <f t="shared" si="237"/>
        <v>0</v>
      </c>
      <c r="Q197" s="7">
        <f t="shared" si="237"/>
        <v>0</v>
      </c>
      <c r="R197" s="62">
        <f t="shared" si="238"/>
        <v>212583.96188000002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5"/>
        <v>31872</v>
      </c>
      <c r="H198" s="7">
        <f>32*H5</f>
        <v>23072</v>
      </c>
      <c r="I198" s="7"/>
      <c r="J198" s="7"/>
      <c r="K198" s="7"/>
      <c r="L198" s="62">
        <f t="shared" si="236"/>
        <v>23072</v>
      </c>
      <c r="N198" s="7">
        <f t="shared" si="237"/>
        <v>54944</v>
      </c>
      <c r="O198" s="7">
        <f t="shared" si="237"/>
        <v>0</v>
      </c>
      <c r="P198" s="7">
        <f t="shared" si="237"/>
        <v>0</v>
      </c>
      <c r="Q198" s="7">
        <f t="shared" si="237"/>
        <v>0</v>
      </c>
      <c r="R198" s="62">
        <f t="shared" si="238"/>
        <v>54944</v>
      </c>
    </row>
    <row r="199" spans="1:18" x14ac:dyDescent="0.35">
      <c r="A199" s="63" t="s">
        <v>145</v>
      </c>
      <c r="B199" s="7">
        <v>46000</v>
      </c>
      <c r="C199" s="7"/>
      <c r="D199" s="7"/>
      <c r="E199" s="7"/>
      <c r="F199" s="62">
        <f t="shared" si="235"/>
        <v>46000</v>
      </c>
      <c r="H199" s="7">
        <v>30000</v>
      </c>
      <c r="I199" s="7"/>
      <c r="J199" s="7"/>
      <c r="K199" s="7"/>
      <c r="L199" s="62">
        <f t="shared" si="236"/>
        <v>30000</v>
      </c>
      <c r="N199" s="7">
        <f t="shared" si="237"/>
        <v>76000</v>
      </c>
      <c r="O199" s="7">
        <f t="shared" si="237"/>
        <v>0</v>
      </c>
      <c r="P199" s="7">
        <f t="shared" si="237"/>
        <v>0</v>
      </c>
      <c r="Q199" s="7">
        <f t="shared" si="237"/>
        <v>0</v>
      </c>
      <c r="R199" s="62">
        <f t="shared" si="238"/>
        <v>76000</v>
      </c>
    </row>
    <row r="200" spans="1:18" x14ac:dyDescent="0.35">
      <c r="A200" s="63" t="s">
        <v>146</v>
      </c>
      <c r="B200" s="7">
        <f>(1263*12)*1.03*1.03</f>
        <v>16079.000400000001</v>
      </c>
      <c r="C200" s="11"/>
      <c r="D200" s="11"/>
      <c r="E200" s="11"/>
      <c r="F200" s="62">
        <f t="shared" si="235"/>
        <v>16079.000400000001</v>
      </c>
      <c r="H200" s="7">
        <f>(1263*12)*1.03*1.03</f>
        <v>16079.000400000001</v>
      </c>
      <c r="I200" s="11"/>
      <c r="J200" s="11"/>
      <c r="K200" s="11"/>
      <c r="L200" s="62">
        <f t="shared" si="236"/>
        <v>16079.000400000001</v>
      </c>
      <c r="N200" s="7">
        <f t="shared" si="237"/>
        <v>32158.000800000002</v>
      </c>
      <c r="O200" s="7">
        <f t="shared" si="237"/>
        <v>0</v>
      </c>
      <c r="P200" s="7">
        <f t="shared" si="237"/>
        <v>0</v>
      </c>
      <c r="Q200" s="7">
        <f t="shared" si="237"/>
        <v>0</v>
      </c>
      <c r="R200" s="62">
        <f t="shared" si="238"/>
        <v>32158.000800000002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5"/>
        <v>15500</v>
      </c>
      <c r="H201" s="7">
        <v>11000</v>
      </c>
      <c r="I201" s="7"/>
      <c r="J201" s="7"/>
      <c r="K201" s="7"/>
      <c r="L201" s="62">
        <f t="shared" si="236"/>
        <v>11000</v>
      </c>
      <c r="N201" s="7">
        <f t="shared" si="237"/>
        <v>26500</v>
      </c>
      <c r="O201" s="7">
        <f t="shared" si="237"/>
        <v>0</v>
      </c>
      <c r="P201" s="7">
        <f t="shared" si="237"/>
        <v>0</v>
      </c>
      <c r="Q201" s="7">
        <f t="shared" si="237"/>
        <v>0</v>
      </c>
      <c r="R201" s="62">
        <f t="shared" si="238"/>
        <v>26500</v>
      </c>
    </row>
    <row r="202" spans="1:18" ht="15" thickBot="1" x14ac:dyDescent="0.4">
      <c r="A202" s="63" t="s">
        <v>148</v>
      </c>
      <c r="B202" s="37">
        <f>((3963*2)+1500)*1.03*1.04</f>
        <v>10097.131200000002</v>
      </c>
      <c r="C202" s="86"/>
      <c r="D202" s="86"/>
      <c r="E202" s="86"/>
      <c r="F202" s="62">
        <f t="shared" si="235"/>
        <v>10097.131200000002</v>
      </c>
      <c r="H202" s="37">
        <f>((3963*2)+1500)*1.03*1.03</f>
        <v>10000.0434</v>
      </c>
      <c r="I202" s="86"/>
      <c r="J202" s="86"/>
      <c r="K202" s="86"/>
      <c r="L202" s="62">
        <f t="shared" si="236"/>
        <v>10000.0434</v>
      </c>
      <c r="N202" s="7">
        <f t="shared" si="237"/>
        <v>20097.174600000002</v>
      </c>
      <c r="O202" s="7">
        <f t="shared" si="237"/>
        <v>0</v>
      </c>
      <c r="P202" s="7">
        <f t="shared" si="237"/>
        <v>0</v>
      </c>
      <c r="Q202" s="7">
        <f t="shared" si="237"/>
        <v>0</v>
      </c>
      <c r="R202" s="62">
        <f t="shared" si="238"/>
        <v>20097.174600000002</v>
      </c>
    </row>
    <row r="203" spans="1:18" ht="15" thickBot="1" x14ac:dyDescent="0.4">
      <c r="A203" s="95" t="s">
        <v>149</v>
      </c>
      <c r="B203" s="90">
        <f>SUM(B192:B202)</f>
        <v>341735.81348000001</v>
      </c>
      <c r="C203" s="90">
        <f t="shared" ref="C203" si="239">SUM(C192:C202)</f>
        <v>0</v>
      </c>
      <c r="D203" s="90">
        <f>SUM(D192:D202)</f>
        <v>0</v>
      </c>
      <c r="E203" s="90">
        <f t="shared" ref="E203:F203" si="240">SUM(E192:E202)</f>
        <v>0</v>
      </c>
      <c r="F203" s="90">
        <f t="shared" si="240"/>
        <v>341735.81348000001</v>
      </c>
      <c r="H203" s="90">
        <f>SUM(H192:H202)</f>
        <v>244670.27019999997</v>
      </c>
      <c r="I203" s="90">
        <f t="shared" ref="I203" si="241">SUM(I192:I202)</f>
        <v>0</v>
      </c>
      <c r="J203" s="90">
        <f>SUM(J192:J202)</f>
        <v>0</v>
      </c>
      <c r="K203" s="90">
        <f t="shared" ref="K203:L203" si="242">SUM(K192:K202)</f>
        <v>0</v>
      </c>
      <c r="L203" s="90">
        <f t="shared" si="242"/>
        <v>244670.27019999997</v>
      </c>
      <c r="N203" s="90">
        <f>SUM(N192:N202)</f>
        <v>586406.08368000004</v>
      </c>
      <c r="O203" s="90">
        <f t="shared" ref="O203" si="243">SUM(O192:O202)</f>
        <v>0</v>
      </c>
      <c r="P203" s="90">
        <f>SUM(P192:P202)</f>
        <v>0</v>
      </c>
      <c r="Q203" s="90">
        <f t="shared" ref="Q203:R203" si="244">SUM(Q192:Q202)</f>
        <v>0</v>
      </c>
      <c r="R203" s="90">
        <f t="shared" si="244"/>
        <v>586406.08368000004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5500152.395693182</v>
      </c>
      <c r="C205" s="104">
        <f t="shared" ref="C205" si="245">C138+C150+C165+C174+C179+C190+C203</f>
        <v>318910.65171800001</v>
      </c>
      <c r="D205" s="104">
        <f>D138+D150+D165+D174+D179+D190+D203</f>
        <v>694418.08771699993</v>
      </c>
      <c r="E205" s="104">
        <f t="shared" ref="E205" si="246">E138+E150+E165+E174+E179+E190+E203</f>
        <v>88647.782500000016</v>
      </c>
      <c r="F205" s="104">
        <f>F138+F150+F165+F174+F179+F190+F203</f>
        <v>6595778.9176281821</v>
      </c>
      <c r="H205" s="104">
        <f>H138+H150+H165+H174+H179+H190+H203</f>
        <v>3918695.72090312</v>
      </c>
      <c r="I205" s="104">
        <f t="shared" ref="I205" si="247">I138+I150+I165+I174+I179+I190+I203</f>
        <v>208599.66859999998</v>
      </c>
      <c r="J205" s="104">
        <f>J138+J150+J165+J174+J179+J190+J203</f>
        <v>531586.91999999993</v>
      </c>
      <c r="K205" s="104">
        <f t="shared" ref="K205" si="248">K138+K150+K165+K174+K179+K190+K203</f>
        <v>288029.7</v>
      </c>
      <c r="L205" s="104">
        <f>L138+L150+L165+L174+L179+L190+L203</f>
        <v>4943412.0095031196</v>
      </c>
      <c r="N205" s="104">
        <f>N138+N150+N165+N174+N179+N190+N203</f>
        <v>9418848.1165963002</v>
      </c>
      <c r="O205" s="104">
        <f t="shared" ref="O205" si="249">O138+O150+O165+O174+O179+O190+O203</f>
        <v>527510.32031799993</v>
      </c>
      <c r="P205" s="104">
        <f>P138+P150+P165+P174+P179+P190+P203</f>
        <v>1226005.0077169999</v>
      </c>
      <c r="Q205" s="104">
        <f t="shared" ref="Q205" si="250">Q138+Q150+Q165+Q174+Q179+Q190+Q203</f>
        <v>376677.48250000004</v>
      </c>
      <c r="R205" s="104">
        <f>R138+R150+R165+R174+R179+R190+R203</f>
        <v>11549040.927131299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51">SUM(B207:E207)</f>
        <v>0</v>
      </c>
      <c r="H207" s="189">
        <v>900000</v>
      </c>
      <c r="I207" s="7"/>
      <c r="J207" s="7"/>
      <c r="K207" s="7"/>
      <c r="L207" s="7">
        <f t="shared" ref="L207:L216" si="252">SUM(H207:K207)</f>
        <v>900000</v>
      </c>
      <c r="N207" s="7">
        <f t="shared" ref="N207:Q217" si="253">B207+H207</f>
        <v>900000</v>
      </c>
      <c r="O207" s="7">
        <f t="shared" si="253"/>
        <v>0</v>
      </c>
      <c r="P207" s="7">
        <f t="shared" si="253"/>
        <v>0</v>
      </c>
      <c r="Q207" s="7">
        <f t="shared" si="253"/>
        <v>0</v>
      </c>
      <c r="R207" s="7">
        <f t="shared" ref="R207:R216" si="254">SUM(N207:Q207)</f>
        <v>900000</v>
      </c>
    </row>
    <row r="208" spans="1:18" x14ac:dyDescent="0.35">
      <c r="A208" s="106" t="s">
        <v>152</v>
      </c>
      <c r="B208" s="7">
        <v>1124993.24</v>
      </c>
      <c r="C208" s="7">
        <v>0</v>
      </c>
      <c r="D208" s="7"/>
      <c r="E208" s="7"/>
      <c r="F208" s="7">
        <f t="shared" si="251"/>
        <v>1124993.24</v>
      </c>
      <c r="H208" s="7">
        <v>0</v>
      </c>
      <c r="I208" s="7">
        <v>0</v>
      </c>
      <c r="J208" s="7"/>
      <c r="K208" s="7"/>
      <c r="L208" s="7">
        <f t="shared" si="252"/>
        <v>0</v>
      </c>
      <c r="N208" s="7">
        <f t="shared" si="253"/>
        <v>1124993.24</v>
      </c>
      <c r="O208" s="7">
        <f t="shared" si="253"/>
        <v>0</v>
      </c>
      <c r="P208" s="7">
        <f t="shared" si="253"/>
        <v>0</v>
      </c>
      <c r="Q208" s="7">
        <f t="shared" si="253"/>
        <v>0</v>
      </c>
      <c r="R208" s="7">
        <f t="shared" si="254"/>
        <v>1124993.24</v>
      </c>
    </row>
    <row r="209" spans="1:18" hidden="1" x14ac:dyDescent="0.35">
      <c r="A209" s="106"/>
      <c r="B209" s="7"/>
      <c r="C209" s="7"/>
      <c r="D209" s="7"/>
      <c r="E209" s="7"/>
      <c r="F209" s="7">
        <f t="shared" si="251"/>
        <v>0</v>
      </c>
      <c r="H209" s="7"/>
      <c r="I209" s="7"/>
      <c r="J209" s="7"/>
      <c r="K209" s="7"/>
      <c r="L209" s="7">
        <f t="shared" si="252"/>
        <v>0</v>
      </c>
      <c r="N209" s="7">
        <f t="shared" si="253"/>
        <v>0</v>
      </c>
      <c r="O209" s="7">
        <f t="shared" si="253"/>
        <v>0</v>
      </c>
      <c r="P209" s="7">
        <f t="shared" si="253"/>
        <v>0</v>
      </c>
      <c r="Q209" s="7">
        <f t="shared" si="253"/>
        <v>0</v>
      </c>
      <c r="R209" s="7">
        <f t="shared" si="254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51"/>
        <v>0</v>
      </c>
      <c r="H210" s="7"/>
      <c r="I210" s="7"/>
      <c r="J210" s="7"/>
      <c r="K210" s="7"/>
      <c r="L210" s="7">
        <f t="shared" si="252"/>
        <v>0</v>
      </c>
      <c r="N210" s="7">
        <f t="shared" si="253"/>
        <v>0</v>
      </c>
      <c r="O210" s="7">
        <f t="shared" si="253"/>
        <v>0</v>
      </c>
      <c r="P210" s="7">
        <f t="shared" si="253"/>
        <v>0</v>
      </c>
      <c r="Q210" s="7">
        <f t="shared" si="253"/>
        <v>0</v>
      </c>
      <c r="R210" s="7">
        <f t="shared" si="254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51"/>
        <v>0</v>
      </c>
      <c r="H211" s="7"/>
      <c r="I211" s="7"/>
      <c r="J211" s="7"/>
      <c r="K211" s="7"/>
      <c r="L211" s="7">
        <f t="shared" si="252"/>
        <v>0</v>
      </c>
      <c r="N211" s="7">
        <f t="shared" si="253"/>
        <v>0</v>
      </c>
      <c r="O211" s="7">
        <f t="shared" si="253"/>
        <v>0</v>
      </c>
      <c r="P211" s="7">
        <f t="shared" si="253"/>
        <v>0</v>
      </c>
      <c r="Q211" s="7">
        <f t="shared" si="253"/>
        <v>0</v>
      </c>
      <c r="R211" s="7">
        <f t="shared" si="254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51"/>
        <v>0</v>
      </c>
      <c r="H212" s="7"/>
      <c r="I212" s="7"/>
      <c r="J212" s="7"/>
      <c r="K212" s="7"/>
      <c r="L212" s="7">
        <f t="shared" si="252"/>
        <v>0</v>
      </c>
      <c r="N212" s="7">
        <f t="shared" si="253"/>
        <v>0</v>
      </c>
      <c r="O212" s="7">
        <f t="shared" si="253"/>
        <v>0</v>
      </c>
      <c r="P212" s="7">
        <f t="shared" si="253"/>
        <v>0</v>
      </c>
      <c r="Q212" s="7">
        <f t="shared" si="253"/>
        <v>0</v>
      </c>
      <c r="R212" s="7">
        <f t="shared" si="254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51"/>
        <v>0</v>
      </c>
      <c r="H213" s="7"/>
      <c r="I213" s="7"/>
      <c r="J213" s="7"/>
      <c r="K213" s="7"/>
      <c r="L213" s="7">
        <f t="shared" si="252"/>
        <v>0</v>
      </c>
      <c r="N213" s="7">
        <f t="shared" si="253"/>
        <v>0</v>
      </c>
      <c r="O213" s="7">
        <f t="shared" si="253"/>
        <v>0</v>
      </c>
      <c r="P213" s="7">
        <f t="shared" si="253"/>
        <v>0</v>
      </c>
      <c r="Q213" s="7">
        <f t="shared" si="253"/>
        <v>0</v>
      </c>
      <c r="R213" s="7">
        <f t="shared" si="254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51"/>
        <v>0</v>
      </c>
      <c r="H214" s="7"/>
      <c r="I214" s="7"/>
      <c r="J214" s="7"/>
      <c r="K214" s="7"/>
      <c r="L214" s="7">
        <f t="shared" si="252"/>
        <v>0</v>
      </c>
      <c r="N214" s="7">
        <f t="shared" si="253"/>
        <v>0</v>
      </c>
      <c r="O214" s="7">
        <f t="shared" si="253"/>
        <v>0</v>
      </c>
      <c r="P214" s="7">
        <f t="shared" si="253"/>
        <v>0</v>
      </c>
      <c r="Q214" s="7">
        <f t="shared" si="253"/>
        <v>0</v>
      </c>
      <c r="R214" s="7">
        <f t="shared" si="254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51"/>
        <v>0</v>
      </c>
      <c r="H215" s="7">
        <v>0</v>
      </c>
      <c r="I215" s="7">
        <v>0</v>
      </c>
      <c r="J215" s="7"/>
      <c r="K215" s="7"/>
      <c r="L215" s="7">
        <f t="shared" si="252"/>
        <v>0</v>
      </c>
      <c r="N215" s="7">
        <f t="shared" si="253"/>
        <v>0</v>
      </c>
      <c r="O215" s="7">
        <f t="shared" si="253"/>
        <v>0</v>
      </c>
      <c r="P215" s="7">
        <f t="shared" si="253"/>
        <v>0</v>
      </c>
      <c r="Q215" s="7">
        <f t="shared" si="253"/>
        <v>0</v>
      </c>
      <c r="R215" s="7">
        <f t="shared" si="254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51"/>
        <v>0</v>
      </c>
      <c r="H216" s="7"/>
      <c r="I216" s="7"/>
      <c r="J216" s="7"/>
      <c r="K216" s="7"/>
      <c r="L216" s="7">
        <f t="shared" si="252"/>
        <v>0</v>
      </c>
      <c r="N216" s="7">
        <f t="shared" si="253"/>
        <v>0</v>
      </c>
      <c r="O216" s="7">
        <f t="shared" si="253"/>
        <v>0</v>
      </c>
      <c r="P216" s="7">
        <f t="shared" si="253"/>
        <v>0</v>
      </c>
      <c r="Q216" s="7">
        <f t="shared" si="253"/>
        <v>0</v>
      </c>
      <c r="R216" s="7">
        <f t="shared" si="254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3"/>
        <v>0</v>
      </c>
      <c r="O217" s="7">
        <f t="shared" si="253"/>
        <v>0</v>
      </c>
      <c r="P217" s="7">
        <f t="shared" si="253"/>
        <v>0</v>
      </c>
      <c r="Q217" s="7">
        <f t="shared" si="253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654618.364306818</v>
      </c>
      <c r="C218" s="149">
        <f t="shared" ref="C218" si="255">C87-C205-C207-C208-C214-C215</f>
        <v>-254009.65171800001</v>
      </c>
      <c r="D218" s="149">
        <f>D87-D205-D207-D208-D214-D215</f>
        <v>-247694.08771699993</v>
      </c>
      <c r="E218" s="149">
        <f t="shared" ref="E218:F218" si="256">E87-E205-E207-E208-E214-E215</f>
        <v>-25899.782500000008</v>
      </c>
      <c r="F218" s="149">
        <f t="shared" si="256"/>
        <v>133364.84237181791</v>
      </c>
      <c r="H218" s="149">
        <f>H87-H205-H207-H208-H214-H215</f>
        <v>451093.27909688</v>
      </c>
      <c r="I218" s="149">
        <f t="shared" ref="I218" si="257">I87-I205-I207-I208-I214-I215</f>
        <v>36599.211400000029</v>
      </c>
      <c r="J218" s="149">
        <f>J87-J205-J207-J208-J214-J215</f>
        <v>-212530.91999999993</v>
      </c>
      <c r="K218" s="149">
        <f t="shared" ref="K218:L218" si="258">K87-K205-K207-K208-K214-K215</f>
        <v>-41772.149999999994</v>
      </c>
      <c r="L218" s="149">
        <f t="shared" si="258"/>
        <v>236889.42049688008</v>
      </c>
      <c r="N218" s="149">
        <f>N87-N205-N207-N208-N214-N215</f>
        <v>1105711.6434036999</v>
      </c>
      <c r="O218" s="149">
        <f t="shared" ref="O218" si="259">O87-O205-O207-O208-O214-O215</f>
        <v>-217410.44031799992</v>
      </c>
      <c r="P218" s="149">
        <f>P87-P205-P207-P208-P214-P215</f>
        <v>-460225.00771699985</v>
      </c>
      <c r="Q218" s="149">
        <f t="shared" ref="Q218:R218" si="260">Q87-Q205-Q207-Q208-Q214-Q215</f>
        <v>-67671.932499999995</v>
      </c>
      <c r="R218" s="149">
        <f t="shared" si="260"/>
        <v>360404.26286870264</v>
      </c>
    </row>
    <row r="219" spans="1:18" ht="15" thickBot="1" x14ac:dyDescent="0.4">
      <c r="A219" s="108"/>
      <c r="B219" s="110">
        <f>B218/(B87-B77)</f>
        <v>8.9923020074114762E-2</v>
      </c>
      <c r="C219" s="110">
        <f t="shared" ref="C219" si="261">C218/(C87-C77)</f>
        <v>-3.913801816890341</v>
      </c>
      <c r="D219" s="110">
        <f>D218/(D87-D77)</f>
        <v>-0.55446783185367232</v>
      </c>
      <c r="E219" s="110">
        <f>E218/(E87)</f>
        <v>-0.41275869350417554</v>
      </c>
      <c r="F219" s="110">
        <f t="shared" ref="F219" si="262">F218/(F87-F77)</f>
        <v>1.711695339198414E-2</v>
      </c>
      <c r="H219" s="110">
        <f>H218/(H87-H77)</f>
        <v>8.5599874890034497E-2</v>
      </c>
      <c r="I219" s="110">
        <f t="shared" ref="I219" si="263">I218/(I87-I77)</f>
        <v>0.14926337102355455</v>
      </c>
      <c r="J219" s="110">
        <f>J218/(J87-J77)</f>
        <v>-0.66612419136452516</v>
      </c>
      <c r="K219" s="110">
        <f>K218/(K87)</f>
        <v>-0.16962789567264025</v>
      </c>
      <c r="L219" s="110">
        <f t="shared" ref="L219" si="264">L218/(L87-L77)</f>
        <v>4.0604668968804547E-2</v>
      </c>
      <c r="N219" s="110">
        <f>N218/(N87-N77)</f>
        <v>8.8107651595534908E-2</v>
      </c>
      <c r="O219" s="110">
        <f t="shared" ref="O219" si="265">O218/(O87-O77)</f>
        <v>-0.70109811173741798</v>
      </c>
      <c r="P219" s="110">
        <f>P218/(P87-P77)</f>
        <v>-0.60098854464336993</v>
      </c>
      <c r="Q219" s="110">
        <f>Q218/(Q87)</f>
        <v>-0.21899908432065374</v>
      </c>
      <c r="R219" s="110">
        <f t="shared" ref="R219" si="266">R218/(R87-R77)</f>
        <v>2.6450848647731375E-2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24</v>
      </c>
      <c r="B221" s="174" t="str">
        <f>B1</f>
        <v>Operating</v>
      </c>
      <c r="C221" s="174" t="str">
        <f t="shared" ref="C221" si="267">C1</f>
        <v>Weights</v>
      </c>
      <c r="D221" s="174" t="str">
        <f>D1</f>
        <v>SPED</v>
      </c>
      <c r="E221" s="174" t="str">
        <f t="shared" ref="E221:F221" si="268">E1</f>
        <v>NSLP</v>
      </c>
      <c r="F221" s="174" t="str">
        <f t="shared" si="268"/>
        <v>Mt. Rose</v>
      </c>
      <c r="H221" s="174" t="str">
        <f>H1</f>
        <v>Operating</v>
      </c>
      <c r="I221" s="174" t="str">
        <f t="shared" ref="I221" si="269">I1</f>
        <v>Weights</v>
      </c>
      <c r="J221" s="174" t="str">
        <f>J1</f>
        <v>SPED</v>
      </c>
      <c r="K221" s="174" t="str">
        <f t="shared" ref="K221:L221" si="270">K1</f>
        <v>NSLP</v>
      </c>
      <c r="L221" s="174" t="str">
        <f t="shared" si="270"/>
        <v>New Campus</v>
      </c>
      <c r="N221" s="174" t="str">
        <f>N1</f>
        <v>Operating</v>
      </c>
      <c r="O221" s="174" t="str">
        <f t="shared" ref="O221" si="271">O1</f>
        <v>Weights</v>
      </c>
      <c r="P221" s="174" t="str">
        <f>P1</f>
        <v>SPED</v>
      </c>
      <c r="Q221" s="174" t="str">
        <f t="shared" ref="Q221:R221" si="272">Q1</f>
        <v>NSLP</v>
      </c>
      <c r="R221" s="174" t="str">
        <f t="shared" si="272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2"/>
  <sheetViews>
    <sheetView topLeftCell="A164" zoomScale="75" zoomScaleNormal="75" workbookViewId="0">
      <pane xSplit="1" topLeftCell="B1" activePane="topRight" state="frozen"/>
      <selection activeCell="A160" sqref="A160"/>
      <selection pane="topRight" activeCell="K77" sqref="K77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257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7404</v>
      </c>
      <c r="C2" s="7">
        <v>0</v>
      </c>
      <c r="D2" s="7">
        <v>0</v>
      </c>
      <c r="E2" s="7">
        <v>0</v>
      </c>
      <c r="F2" s="7">
        <f>SUM(B2:E2)</f>
        <v>7404</v>
      </c>
      <c r="H2" s="7">
        <v>7404</v>
      </c>
      <c r="I2" s="7">
        <v>0</v>
      </c>
      <c r="J2" s="7">
        <v>0</v>
      </c>
      <c r="K2" s="7">
        <v>0</v>
      </c>
      <c r="L2" s="7">
        <f>SUM(H2:K2)</f>
        <v>7404</v>
      </c>
      <c r="N2" s="7">
        <f>H2</f>
        <v>7404</v>
      </c>
      <c r="O2" s="7">
        <v>0</v>
      </c>
      <c r="P2" s="7">
        <v>0</v>
      </c>
      <c r="Q2" s="7">
        <v>0</v>
      </c>
      <c r="R2" s="7">
        <f>SUM(N2:Q2)</f>
        <v>7404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872</v>
      </c>
      <c r="I5" s="9"/>
      <c r="J5" s="9"/>
      <c r="K5" s="9"/>
      <c r="L5" s="9">
        <f t="shared" ref="L5:L19" si="1">SUM(H5:K5)</f>
        <v>872</v>
      </c>
      <c r="N5" s="9">
        <f>N6+N7+N8+N9+N10+N11+N12+N13+N14+N15+N16+N17+N18</f>
        <v>1868</v>
      </c>
      <c r="O5" s="9"/>
      <c r="P5" s="9"/>
      <c r="Q5" s="9"/>
      <c r="R5" s="9">
        <f t="shared" ref="R5:R19" si="2">SUM(N5:Q5)</f>
        <v>1868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27*4</f>
        <v>108</v>
      </c>
      <c r="I11" s="11"/>
      <c r="J11" s="11"/>
      <c r="K11" s="11"/>
      <c r="L11" s="9">
        <f t="shared" si="1"/>
        <v>108</v>
      </c>
      <c r="M11" s="187">
        <v>4</v>
      </c>
      <c r="N11" s="7">
        <f t="shared" si="3"/>
        <v>216</v>
      </c>
      <c r="O11" s="11"/>
      <c r="P11" s="11"/>
      <c r="Q11" s="11"/>
      <c r="R11" s="9">
        <f t="shared" si="2"/>
        <v>216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f>31*4</f>
        <v>124</v>
      </c>
      <c r="I13" s="7"/>
      <c r="J13" s="7"/>
      <c r="K13" s="7"/>
      <c r="L13" s="9">
        <f t="shared" si="1"/>
        <v>124</v>
      </c>
      <c r="M13" s="187">
        <v>4</v>
      </c>
      <c r="N13" s="7">
        <f t="shared" si="3"/>
        <v>248</v>
      </c>
      <c r="O13" s="7"/>
      <c r="P13" s="7"/>
      <c r="Q13" s="7"/>
      <c r="R13" s="9">
        <f t="shared" si="2"/>
        <v>248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v>0</v>
      </c>
      <c r="I14" s="7"/>
      <c r="J14" s="7"/>
      <c r="K14" s="7"/>
      <c r="L14" s="9">
        <f t="shared" si="1"/>
        <v>0</v>
      </c>
      <c r="N14" s="7">
        <f t="shared" si="3"/>
        <v>124</v>
      </c>
      <c r="O14" s="7"/>
      <c r="P14" s="7"/>
      <c r="Q14" s="7"/>
      <c r="R14" s="9">
        <f t="shared" si="2"/>
        <v>124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872</v>
      </c>
      <c r="I19" s="9"/>
      <c r="J19" s="9"/>
      <c r="K19" s="9"/>
      <c r="L19" s="9">
        <f t="shared" si="1"/>
        <v>872</v>
      </c>
      <c r="M19" s="188">
        <f>L19*0.11</f>
        <v>95.92</v>
      </c>
      <c r="N19" s="9">
        <f>SUM(N6:N18)</f>
        <v>1868</v>
      </c>
      <c r="O19" s="9"/>
      <c r="P19" s="9"/>
      <c r="Q19" s="9"/>
      <c r="R19" s="9">
        <f t="shared" si="2"/>
        <v>1868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721*0.17</f>
        <v>122.57000000000001</v>
      </c>
      <c r="K22" s="7"/>
      <c r="L22" s="7">
        <f t="shared" ref="L22:L27" si="5">SUM(H22:K22)</f>
        <v>122.57000000000001</v>
      </c>
      <c r="N22" s="190">
        <f>B22+H22</f>
        <v>0</v>
      </c>
      <c r="O22" s="190">
        <f t="shared" ref="O22:Q24" si="6">C22+I22</f>
        <v>0</v>
      </c>
      <c r="P22" s="190">
        <f t="shared" si="6"/>
        <v>230.57</v>
      </c>
      <c r="Q22" s="190">
        <f t="shared" si="6"/>
        <v>0</v>
      </c>
      <c r="R22" s="7">
        <f t="shared" ref="R22:R27" si="7">SUM(N22:Q22)</f>
        <v>230.57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721*0.2</f>
        <v>144.20000000000002</v>
      </c>
      <c r="J23" s="7"/>
      <c r="K23" s="7"/>
      <c r="L23" s="7">
        <f t="shared" si="5"/>
        <v>144.20000000000002</v>
      </c>
      <c r="N23" s="190">
        <f t="shared" ref="N23:N24" si="8">B23+H23</f>
        <v>0</v>
      </c>
      <c r="O23" s="7">
        <f t="shared" si="6"/>
        <v>147.20000000000002</v>
      </c>
      <c r="P23" s="190">
        <f t="shared" si="6"/>
        <v>0</v>
      </c>
      <c r="Q23" s="190">
        <f t="shared" si="6"/>
        <v>0</v>
      </c>
      <c r="R23" s="7">
        <f t="shared" si="7"/>
        <v>147.20000000000002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25</v>
      </c>
      <c r="J24" s="7"/>
      <c r="K24" s="7"/>
      <c r="L24" s="7">
        <f t="shared" si="5"/>
        <v>25</v>
      </c>
      <c r="N24" s="190">
        <f t="shared" si="8"/>
        <v>0</v>
      </c>
      <c r="O24" s="7">
        <f t="shared" si="6"/>
        <v>78</v>
      </c>
      <c r="P24" s="190">
        <f t="shared" si="6"/>
        <v>0</v>
      </c>
      <c r="Q24" s="190">
        <f t="shared" si="6"/>
        <v>0</v>
      </c>
      <c r="R24" s="7">
        <f t="shared" si="7"/>
        <v>78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0.3100642398286938</v>
      </c>
      <c r="R25" s="19">
        <f t="shared" si="7"/>
        <v>0.3100642398286938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(721*0.6)-I23-(J22*0.5)</f>
        <v>227.11499999999998</v>
      </c>
      <c r="J26" s="7"/>
      <c r="K26" s="7"/>
      <c r="L26" s="7">
        <f t="shared" si="5"/>
        <v>227.11499999999998</v>
      </c>
      <c r="N26" s="190">
        <f>B26+H26</f>
        <v>0</v>
      </c>
      <c r="O26" s="190">
        <f t="shared" ref="O26:Q26" si="9">C26+I26</f>
        <v>282.11500000000001</v>
      </c>
      <c r="P26" s="190">
        <f t="shared" si="9"/>
        <v>0</v>
      </c>
      <c r="Q26" s="190">
        <f t="shared" si="9"/>
        <v>0</v>
      </c>
      <c r="R26" s="7">
        <f t="shared" si="7"/>
        <v>282.11500000000001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32</v>
      </c>
      <c r="I29" s="23"/>
      <c r="J29" s="23"/>
      <c r="K29" s="23"/>
      <c r="L29" s="23">
        <f t="shared" ref="L29:L38" si="11">SUM(H29:K29)</f>
        <v>32</v>
      </c>
      <c r="M29" s="188">
        <f>L29/6</f>
        <v>5.333333333333333</v>
      </c>
      <c r="N29" s="190">
        <f>B29+H29</f>
        <v>68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68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5</v>
      </c>
      <c r="K30" s="26"/>
      <c r="L30" s="23">
        <f t="shared" si="11"/>
        <v>5</v>
      </c>
      <c r="M30" s="188">
        <f>J22/23</f>
        <v>5.3291304347826092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8.5</v>
      </c>
      <c r="Q30" s="190">
        <f t="shared" si="12"/>
        <v>0</v>
      </c>
      <c r="R30" s="23">
        <f t="shared" si="13"/>
        <v>8.5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2</v>
      </c>
      <c r="I31" s="23"/>
      <c r="J31" s="23"/>
      <c r="K31" s="23"/>
      <c r="L31" s="23">
        <f t="shared" si="11"/>
        <v>2</v>
      </c>
      <c r="N31" s="190">
        <f t="shared" si="14"/>
        <v>4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4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37</v>
      </c>
      <c r="I39" s="30">
        <f t="shared" ref="I39:L39" si="16">SUM(I29:I38)</f>
        <v>0</v>
      </c>
      <c r="J39" s="30">
        <f t="shared" si="16"/>
        <v>5</v>
      </c>
      <c r="K39" s="30">
        <f t="shared" si="16"/>
        <v>0</v>
      </c>
      <c r="L39" s="30">
        <f t="shared" si="16"/>
        <v>42</v>
      </c>
      <c r="N39" s="30">
        <f>SUM(N29:N38)</f>
        <v>79</v>
      </c>
      <c r="O39" s="30">
        <f t="shared" ref="O39:R39" si="17">SUM(O29:O38)</f>
        <v>0</v>
      </c>
      <c r="P39" s="30">
        <f t="shared" si="17"/>
        <v>8.5</v>
      </c>
      <c r="Q39" s="30">
        <f t="shared" si="17"/>
        <v>0</v>
      </c>
      <c r="R39" s="30">
        <f t="shared" si="17"/>
        <v>87.5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1</v>
      </c>
      <c r="I43" s="23"/>
      <c r="J43" s="23"/>
      <c r="K43" s="23"/>
      <c r="L43" s="23">
        <f t="shared" si="19"/>
        <v>1</v>
      </c>
      <c r="N43" s="190">
        <f t="shared" ref="N43:Q62" si="22">B43+H43</f>
        <v>3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3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1</v>
      </c>
      <c r="J46" s="23"/>
      <c r="K46" s="23"/>
      <c r="L46" s="23">
        <f t="shared" si="19"/>
        <v>1</v>
      </c>
      <c r="N46" s="190">
        <f t="shared" si="22"/>
        <v>1</v>
      </c>
      <c r="O46" s="190">
        <f t="shared" si="20"/>
        <v>1</v>
      </c>
      <c r="P46" s="190">
        <f t="shared" si="20"/>
        <v>0</v>
      </c>
      <c r="Q46" s="190">
        <f t="shared" si="20"/>
        <v>0</v>
      </c>
      <c r="R46" s="23">
        <f t="shared" si="21"/>
        <v>2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/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4</v>
      </c>
      <c r="J52" s="158">
        <v>3</v>
      </c>
      <c r="K52" s="158"/>
      <c r="L52" s="23">
        <f t="shared" si="19"/>
        <v>7</v>
      </c>
      <c r="N52" s="190">
        <f t="shared" si="22"/>
        <v>0</v>
      </c>
      <c r="O52" s="190">
        <f t="shared" si="20"/>
        <v>8</v>
      </c>
      <c r="P52" s="190">
        <f t="shared" si="20"/>
        <v>6</v>
      </c>
      <c r="Q52" s="190">
        <f t="shared" si="20"/>
        <v>0</v>
      </c>
      <c r="R52" s="23">
        <f t="shared" si="21"/>
        <v>14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1</v>
      </c>
      <c r="J61" s="157"/>
      <c r="K61" s="157"/>
      <c r="L61" s="23">
        <f t="shared" si="19"/>
        <v>1</v>
      </c>
      <c r="N61" s="190">
        <f t="shared" si="22"/>
        <v>0</v>
      </c>
      <c r="O61" s="190">
        <f t="shared" si="22"/>
        <v>2</v>
      </c>
      <c r="P61" s="190">
        <f t="shared" si="22"/>
        <v>0</v>
      </c>
      <c r="Q61" s="190">
        <f t="shared" si="22"/>
        <v>0</v>
      </c>
      <c r="R61" s="23">
        <f t="shared" si="21"/>
        <v>2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8</v>
      </c>
      <c r="I63" s="30">
        <f t="shared" ref="I63:L63" si="24">SUM(I42:I61)</f>
        <v>7</v>
      </c>
      <c r="J63" s="30">
        <f t="shared" si="24"/>
        <v>3</v>
      </c>
      <c r="K63" s="30">
        <f t="shared" si="24"/>
        <v>1</v>
      </c>
      <c r="L63" s="30">
        <f t="shared" si="24"/>
        <v>19</v>
      </c>
      <c r="N63" s="30">
        <f>SUM(N42:N61)</f>
        <v>20</v>
      </c>
      <c r="O63" s="30">
        <f t="shared" ref="O63:R63" si="25">SUM(O42:O61)</f>
        <v>12</v>
      </c>
      <c r="P63" s="30">
        <f t="shared" si="25"/>
        <v>7</v>
      </c>
      <c r="Q63" s="30">
        <f t="shared" si="25"/>
        <v>2</v>
      </c>
      <c r="R63" s="30">
        <f t="shared" si="25"/>
        <v>41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37</v>
      </c>
      <c r="I65" s="39">
        <f>I61</f>
        <v>1</v>
      </c>
      <c r="J65" s="39">
        <f>J39</f>
        <v>5</v>
      </c>
      <c r="K65" s="39">
        <f t="shared" ref="K65" si="27">K39</f>
        <v>0</v>
      </c>
      <c r="L65" s="39">
        <f>L39</f>
        <v>42</v>
      </c>
      <c r="N65" s="39">
        <f>N39</f>
        <v>79</v>
      </c>
      <c r="O65" s="39">
        <f>O61</f>
        <v>2</v>
      </c>
      <c r="P65" s="39">
        <f>P39</f>
        <v>8.5</v>
      </c>
      <c r="Q65" s="39">
        <f t="shared" ref="Q65" si="28">Q39</f>
        <v>0</v>
      </c>
      <c r="R65" s="39">
        <f>R39</f>
        <v>87.5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8</v>
      </c>
      <c r="I66" s="42">
        <f>I63</f>
        <v>7</v>
      </c>
      <c r="J66" s="42">
        <f>J63</f>
        <v>3</v>
      </c>
      <c r="K66" s="42">
        <f t="shared" ref="K66:L66" si="30">K63</f>
        <v>1</v>
      </c>
      <c r="L66" s="42">
        <f t="shared" si="30"/>
        <v>19</v>
      </c>
      <c r="N66" s="42">
        <f>N63</f>
        <v>20</v>
      </c>
      <c r="O66" s="42">
        <f>O63</f>
        <v>12</v>
      </c>
      <c r="P66" s="42">
        <f>P63</f>
        <v>7</v>
      </c>
      <c r="Q66" s="42">
        <f t="shared" ref="Q66:R66" si="31">Q63</f>
        <v>2</v>
      </c>
      <c r="R66" s="42">
        <f t="shared" si="31"/>
        <v>41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45</v>
      </c>
      <c r="I67" s="44">
        <f t="shared" ref="I67" si="34">SUM(I65:I66)</f>
        <v>8</v>
      </c>
      <c r="J67" s="44">
        <f>SUM(J65:J66)</f>
        <v>8</v>
      </c>
      <c r="K67" s="44">
        <f t="shared" ref="K67:L67" si="35">SUM(K65:K66)</f>
        <v>1</v>
      </c>
      <c r="L67" s="44">
        <f t="shared" si="35"/>
        <v>61</v>
      </c>
      <c r="N67" s="44">
        <f>SUM(N65:N66)</f>
        <v>99</v>
      </c>
      <c r="O67" s="44">
        <f t="shared" ref="O67" si="36">SUM(O65:O66)</f>
        <v>14</v>
      </c>
      <c r="P67" s="44">
        <f>SUM(P65:P66)</f>
        <v>15.5</v>
      </c>
      <c r="Q67" s="44">
        <f t="shared" ref="Q67:R67" si="37">SUM(Q65:Q66)</f>
        <v>2</v>
      </c>
      <c r="R67" s="44">
        <f t="shared" si="37"/>
        <v>128.5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0.6151146424989864</v>
      </c>
      <c r="H69" s="47"/>
      <c r="I69" s="47"/>
      <c r="J69" s="47"/>
      <c r="K69" s="47"/>
      <c r="L69" s="47">
        <f t="shared" ref="L69" si="39">L138/(SUM(L205:L215))</f>
        <v>0.55683209558570668</v>
      </c>
      <c r="N69" s="47"/>
      <c r="O69" s="47"/>
      <c r="P69" s="47"/>
      <c r="Q69" s="47"/>
      <c r="R69" s="47">
        <f t="shared" ref="R69" si="40">R138/(SUM(R205:R215))</f>
        <v>0.58763066689527987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0.73734185067428082</v>
      </c>
      <c r="H70" s="49"/>
      <c r="I70" s="49"/>
      <c r="J70" s="49"/>
      <c r="K70" s="49"/>
      <c r="L70" s="49">
        <f t="shared" ref="L70" si="42">(L109+L110+L111+L114)/L130</f>
        <v>0.77928721463176343</v>
      </c>
      <c r="N70" s="49"/>
      <c r="O70" s="49"/>
      <c r="P70" s="49"/>
      <c r="Q70" s="49"/>
      <c r="R70" s="49">
        <f t="shared" ref="R70" si="43">(R109+R110+R111+R114)/R130</f>
        <v>0.75632261354421215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0.26265814932571924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0.22071278536823677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0.24367738645578799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0.14968188472057173</v>
      </c>
      <c r="H72" s="53"/>
      <c r="I72" s="53"/>
      <c r="J72" s="53"/>
      <c r="K72" s="53"/>
      <c r="L72" s="53">
        <f t="shared" ref="L72" si="48">SUM(L207:L215)/L87</f>
        <v>0.15971419804412024</v>
      </c>
      <c r="N72" s="53"/>
      <c r="O72" s="53"/>
      <c r="P72" s="53"/>
      <c r="Q72" s="53"/>
      <c r="R72" s="53">
        <f t="shared" ref="R72" si="49">SUM(R207:R215)/R87</f>
        <v>0.15455655537255619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7374384</v>
      </c>
      <c r="C75" s="7">
        <f t="shared" ref="C75" si="56">(C2*C5)*0.95</f>
        <v>0</v>
      </c>
      <c r="D75" s="7"/>
      <c r="E75" s="7"/>
      <c r="F75" s="7">
        <f t="shared" ref="F75:F86" si="57">SUM(B75:E75)</f>
        <v>7374384</v>
      </c>
      <c r="H75" s="7">
        <f>(H2*H5)</f>
        <v>6456288</v>
      </c>
      <c r="I75" s="7">
        <f t="shared" ref="I75" si="58">(I2*I5)*0.95</f>
        <v>0</v>
      </c>
      <c r="J75" s="7"/>
      <c r="K75" s="7"/>
      <c r="L75" s="7">
        <f t="shared" ref="L75:L86" si="59">SUM(H75:K75)</f>
        <v>6456288</v>
      </c>
      <c r="N75" s="7">
        <f>B75+H75</f>
        <v>13830672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13830672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(H19*K25)*3.55*180</f>
        <v>306464.39999999997</v>
      </c>
      <c r="L77" s="7">
        <f t="shared" si="59"/>
        <v>306464.39999999997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369212.39999999997</v>
      </c>
      <c r="R77" s="7">
        <f t="shared" si="61"/>
        <v>369212.39999999997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116441.5</v>
      </c>
      <c r="K78" s="7"/>
      <c r="L78" s="7">
        <f t="shared" si="59"/>
        <v>116441.5</v>
      </c>
      <c r="N78" s="7">
        <f t="shared" si="64"/>
        <v>0</v>
      </c>
      <c r="O78" s="7">
        <f t="shared" si="60"/>
        <v>0</v>
      </c>
      <c r="P78" s="7">
        <f t="shared" si="60"/>
        <v>219041.5</v>
      </c>
      <c r="Q78" s="7">
        <f t="shared" si="60"/>
        <v>0</v>
      </c>
      <c r="R78" s="7">
        <f t="shared" si="61"/>
        <v>219041.5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2500*D22</f>
        <v>270000</v>
      </c>
      <c r="E79" s="37"/>
      <c r="F79" s="7">
        <f t="shared" si="57"/>
        <v>270000</v>
      </c>
      <c r="H79" s="37">
        <f>3200*H22</f>
        <v>0</v>
      </c>
      <c r="I79" s="37">
        <f t="shared" ref="I79" si="70">3200*I22</f>
        <v>0</v>
      </c>
      <c r="J79" s="37">
        <f>2500*J22</f>
        <v>306425</v>
      </c>
      <c r="K79" s="37"/>
      <c r="L79" s="7">
        <f t="shared" si="59"/>
        <v>306425</v>
      </c>
      <c r="N79" s="7">
        <f t="shared" si="64"/>
        <v>0</v>
      </c>
      <c r="O79" s="7">
        <f t="shared" si="60"/>
        <v>0</v>
      </c>
      <c r="P79" s="7">
        <f t="shared" si="60"/>
        <v>576425</v>
      </c>
      <c r="Q79" s="7">
        <f t="shared" si="60"/>
        <v>0</v>
      </c>
      <c r="R79" s="7">
        <f t="shared" si="61"/>
        <v>576425</v>
      </c>
    </row>
    <row r="80" spans="1:18" x14ac:dyDescent="0.35">
      <c r="A80" s="63" t="s">
        <v>213</v>
      </c>
      <c r="B80" s="37">
        <f>1400*B23</f>
        <v>0</v>
      </c>
      <c r="C80" s="37">
        <f>1718*C23</f>
        <v>5154</v>
      </c>
      <c r="D80" s="37"/>
      <c r="E80" s="37"/>
      <c r="F80" s="7">
        <f t="shared" si="57"/>
        <v>5154</v>
      </c>
      <c r="H80" s="37">
        <f>1400*H23</f>
        <v>0</v>
      </c>
      <c r="I80" s="37">
        <f>1718*I23</f>
        <v>247735.60000000003</v>
      </c>
      <c r="J80" s="37"/>
      <c r="K80" s="37"/>
      <c r="L80" s="7">
        <f t="shared" si="59"/>
        <v>247735.60000000003</v>
      </c>
      <c r="N80" s="7">
        <f t="shared" si="64"/>
        <v>0</v>
      </c>
      <c r="O80" s="7">
        <f t="shared" si="60"/>
        <v>252889.60000000003</v>
      </c>
      <c r="P80" s="7">
        <f t="shared" si="60"/>
        <v>0</v>
      </c>
      <c r="Q80" s="7">
        <f t="shared" si="60"/>
        <v>0</v>
      </c>
      <c r="R80" s="7">
        <f t="shared" si="61"/>
        <v>252889.60000000003</v>
      </c>
    </row>
    <row r="81" spans="1:18" x14ac:dyDescent="0.35">
      <c r="A81" s="63" t="s">
        <v>214</v>
      </c>
      <c r="B81" s="7">
        <f>830*B24</f>
        <v>0</v>
      </c>
      <c r="C81" s="7">
        <f>877*C24</f>
        <v>46481</v>
      </c>
      <c r="D81" s="7"/>
      <c r="E81" s="7"/>
      <c r="F81" s="7">
        <f t="shared" si="57"/>
        <v>46481</v>
      </c>
      <c r="H81" s="7">
        <f>830*H24</f>
        <v>0</v>
      </c>
      <c r="I81" s="7">
        <f>877*I24</f>
        <v>21925</v>
      </c>
      <c r="J81" s="7"/>
      <c r="K81" s="7"/>
      <c r="L81" s="7">
        <f t="shared" si="59"/>
        <v>21925</v>
      </c>
      <c r="N81" s="7">
        <f t="shared" si="64"/>
        <v>0</v>
      </c>
      <c r="O81" s="7">
        <f t="shared" si="60"/>
        <v>68406</v>
      </c>
      <c r="P81" s="7">
        <f t="shared" si="60"/>
        <v>0</v>
      </c>
      <c r="Q81" s="7">
        <f t="shared" si="60"/>
        <v>0</v>
      </c>
      <c r="R81" s="7">
        <f t="shared" si="61"/>
        <v>68406</v>
      </c>
    </row>
    <row r="82" spans="1:18" x14ac:dyDescent="0.35">
      <c r="A82" s="63" t="s">
        <v>215</v>
      </c>
      <c r="B82" s="7">
        <f>240*B26</f>
        <v>0</v>
      </c>
      <c r="C82" s="7">
        <f>256*C26</f>
        <v>14080</v>
      </c>
      <c r="D82" s="7"/>
      <c r="E82" s="7"/>
      <c r="F82" s="7">
        <f t="shared" si="57"/>
        <v>14080</v>
      </c>
      <c r="H82" s="7">
        <f>240*H26</f>
        <v>0</v>
      </c>
      <c r="I82" s="7">
        <f>256*I26</f>
        <v>58141.439999999995</v>
      </c>
      <c r="J82" s="7"/>
      <c r="K82" s="7"/>
      <c r="L82" s="7">
        <f t="shared" si="59"/>
        <v>58141.439999999995</v>
      </c>
      <c r="N82" s="7">
        <f t="shared" si="64"/>
        <v>0</v>
      </c>
      <c r="O82" s="7">
        <f t="shared" si="60"/>
        <v>72221.440000000002</v>
      </c>
      <c r="P82" s="7">
        <f t="shared" si="60"/>
        <v>0</v>
      </c>
      <c r="Q82" s="7">
        <f t="shared" si="60"/>
        <v>0</v>
      </c>
      <c r="R82" s="7">
        <f t="shared" si="61"/>
        <v>72221.440000000002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7374384</v>
      </c>
      <c r="C87" s="69">
        <f t="shared" ref="C87" si="71">SUM(C75:C86)</f>
        <v>65715</v>
      </c>
      <c r="D87" s="69">
        <f>SUM(D75:D86)</f>
        <v>446724</v>
      </c>
      <c r="E87" s="69">
        <f t="shared" ref="E87:F87" si="72">SUM(E75:E86)</f>
        <v>62748.000000000007</v>
      </c>
      <c r="F87" s="69">
        <f t="shared" si="72"/>
        <v>7949571</v>
      </c>
      <c r="G87" s="187">
        <f>F87/B19</f>
        <v>7981.4969879518076</v>
      </c>
      <c r="H87" s="69">
        <f>SUM(H75:H86)</f>
        <v>6456288</v>
      </c>
      <c r="I87" s="69">
        <f t="shared" ref="I87" si="73">SUM(I75:I86)</f>
        <v>327802.04000000004</v>
      </c>
      <c r="J87" s="69">
        <f>SUM(J75:J86)</f>
        <v>422866.5</v>
      </c>
      <c r="K87" s="69">
        <f t="shared" ref="K87:L87" si="74">SUM(K75:K86)</f>
        <v>306464.39999999997</v>
      </c>
      <c r="L87" s="69">
        <f t="shared" si="74"/>
        <v>7513420.9400000004</v>
      </c>
      <c r="M87" s="187">
        <f>L87/H19</f>
        <v>8616.3084174311934</v>
      </c>
      <c r="N87" s="69">
        <f>SUM(N75:N86)</f>
        <v>13830672</v>
      </c>
      <c r="O87" s="69">
        <f t="shared" ref="O87" si="75">SUM(O75:O86)</f>
        <v>393517.04000000004</v>
      </c>
      <c r="P87" s="69">
        <f>SUM(P75:P86)</f>
        <v>869590.5</v>
      </c>
      <c r="Q87" s="69">
        <f t="shared" ref="Q87:R87" si="76">SUM(Q75:Q86)</f>
        <v>369212.39999999997</v>
      </c>
      <c r="R87" s="69">
        <f t="shared" si="76"/>
        <v>15462991.939999999</v>
      </c>
    </row>
    <row r="88" spans="1:18" hidden="1" x14ac:dyDescent="0.35">
      <c r="A88" s="61" t="s">
        <v>211</v>
      </c>
      <c r="B88" s="62">
        <f>B2*B5</f>
        <v>7374384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7374384</v>
      </c>
      <c r="H88" s="62">
        <f>H2*H5</f>
        <v>6456288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6456288</v>
      </c>
      <c r="N88" s="62">
        <f>N2*N5</f>
        <v>13830672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13830672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306464.39999999997</v>
      </c>
      <c r="L90" s="62">
        <f t="shared" si="90"/>
        <v>306464.39999999997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369212.39999999997</v>
      </c>
      <c r="R90" s="62">
        <f t="shared" si="91"/>
        <v>369212.39999999997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116441.5</v>
      </c>
      <c r="K91" s="62">
        <f t="shared" si="90"/>
        <v>0</v>
      </c>
      <c r="L91" s="62">
        <f t="shared" si="90"/>
        <v>116441.5</v>
      </c>
      <c r="N91" s="62">
        <f t="shared" si="91"/>
        <v>0</v>
      </c>
      <c r="O91" s="62">
        <f t="shared" si="91"/>
        <v>0</v>
      </c>
      <c r="P91" s="62">
        <f t="shared" si="91"/>
        <v>219041.5</v>
      </c>
      <c r="Q91" s="62">
        <f t="shared" si="91"/>
        <v>0</v>
      </c>
      <c r="R91" s="62">
        <f t="shared" si="91"/>
        <v>219041.5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270000</v>
      </c>
      <c r="E92" s="62">
        <f t="shared" si="89"/>
        <v>0</v>
      </c>
      <c r="F92" s="62">
        <f t="shared" si="89"/>
        <v>270000</v>
      </c>
      <c r="H92" s="62">
        <f t="shared" si="90"/>
        <v>0</v>
      </c>
      <c r="I92" s="62">
        <f t="shared" si="90"/>
        <v>0</v>
      </c>
      <c r="J92" s="62">
        <f t="shared" si="90"/>
        <v>306425</v>
      </c>
      <c r="K92" s="62">
        <f t="shared" si="90"/>
        <v>0</v>
      </c>
      <c r="L92" s="62">
        <f t="shared" si="90"/>
        <v>306425</v>
      </c>
      <c r="N92" s="62">
        <f t="shared" si="91"/>
        <v>0</v>
      </c>
      <c r="O92" s="62">
        <f t="shared" si="91"/>
        <v>0</v>
      </c>
      <c r="P92" s="62">
        <f t="shared" si="91"/>
        <v>576425</v>
      </c>
      <c r="Q92" s="62">
        <f t="shared" si="91"/>
        <v>0</v>
      </c>
      <c r="R92" s="62">
        <f t="shared" si="91"/>
        <v>576425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5154</v>
      </c>
      <c r="D93" s="62">
        <f t="shared" si="89"/>
        <v>0</v>
      </c>
      <c r="E93" s="62">
        <f t="shared" si="89"/>
        <v>0</v>
      </c>
      <c r="F93" s="62">
        <f t="shared" si="89"/>
        <v>5154</v>
      </c>
      <c r="H93" s="62">
        <f t="shared" si="90"/>
        <v>0</v>
      </c>
      <c r="I93" s="62">
        <f t="shared" si="90"/>
        <v>247735.60000000003</v>
      </c>
      <c r="J93" s="62">
        <f t="shared" si="90"/>
        <v>0</v>
      </c>
      <c r="K93" s="62">
        <f t="shared" si="90"/>
        <v>0</v>
      </c>
      <c r="L93" s="62">
        <f t="shared" si="90"/>
        <v>247735.60000000003</v>
      </c>
      <c r="N93" s="62">
        <f t="shared" si="91"/>
        <v>0</v>
      </c>
      <c r="O93" s="62">
        <f t="shared" si="91"/>
        <v>252889.60000000003</v>
      </c>
      <c r="P93" s="62">
        <f t="shared" si="91"/>
        <v>0</v>
      </c>
      <c r="Q93" s="62">
        <f t="shared" si="91"/>
        <v>0</v>
      </c>
      <c r="R93" s="62">
        <f t="shared" si="91"/>
        <v>252889.60000000003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46481</v>
      </c>
      <c r="D94" s="62">
        <f t="shared" si="89"/>
        <v>0</v>
      </c>
      <c r="E94" s="62">
        <f t="shared" si="89"/>
        <v>0</v>
      </c>
      <c r="F94" s="62">
        <f t="shared" si="89"/>
        <v>46481</v>
      </c>
      <c r="H94" s="62">
        <f t="shared" si="90"/>
        <v>0</v>
      </c>
      <c r="I94" s="62">
        <f t="shared" si="90"/>
        <v>21925</v>
      </c>
      <c r="J94" s="62">
        <f t="shared" si="90"/>
        <v>0</v>
      </c>
      <c r="K94" s="62">
        <f t="shared" si="90"/>
        <v>0</v>
      </c>
      <c r="L94" s="62">
        <f t="shared" si="90"/>
        <v>21925</v>
      </c>
      <c r="N94" s="62">
        <f t="shared" si="91"/>
        <v>0</v>
      </c>
      <c r="O94" s="62">
        <f t="shared" si="91"/>
        <v>68406</v>
      </c>
      <c r="P94" s="62">
        <f t="shared" si="91"/>
        <v>0</v>
      </c>
      <c r="Q94" s="62">
        <f t="shared" si="91"/>
        <v>0</v>
      </c>
      <c r="R94" s="62">
        <f t="shared" si="91"/>
        <v>68406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14080</v>
      </c>
      <c r="D95" s="62">
        <f t="shared" si="89"/>
        <v>0</v>
      </c>
      <c r="E95" s="62">
        <f t="shared" si="89"/>
        <v>0</v>
      </c>
      <c r="F95" s="62">
        <f t="shared" si="89"/>
        <v>14080</v>
      </c>
      <c r="H95" s="62">
        <f t="shared" si="90"/>
        <v>0</v>
      </c>
      <c r="I95" s="62">
        <f t="shared" si="90"/>
        <v>58141.439999999995</v>
      </c>
      <c r="J95" s="62">
        <f t="shared" si="90"/>
        <v>0</v>
      </c>
      <c r="K95" s="62">
        <f t="shared" si="90"/>
        <v>0</v>
      </c>
      <c r="L95" s="62">
        <f t="shared" si="90"/>
        <v>58141.439999999995</v>
      </c>
      <c r="N95" s="62">
        <f t="shared" si="91"/>
        <v>0</v>
      </c>
      <c r="O95" s="62">
        <f t="shared" si="91"/>
        <v>72221.440000000002</v>
      </c>
      <c r="P95" s="62">
        <f t="shared" si="91"/>
        <v>0</v>
      </c>
      <c r="Q95" s="62">
        <f t="shared" si="91"/>
        <v>0</v>
      </c>
      <c r="R95" s="62">
        <f t="shared" si="91"/>
        <v>72221.440000000002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7374384</v>
      </c>
      <c r="C100" s="69">
        <f t="shared" ref="C100:E100" si="92">SUM(C88:C99)</f>
        <v>65715</v>
      </c>
      <c r="D100" s="69">
        <f t="shared" si="92"/>
        <v>446724</v>
      </c>
      <c r="E100" s="69">
        <f t="shared" si="92"/>
        <v>62748.000000000007</v>
      </c>
      <c r="F100" s="69">
        <f>SUM(F88:F89)</f>
        <v>7448508</v>
      </c>
      <c r="H100" s="69">
        <f>SUM(H88:H99)</f>
        <v>6456288</v>
      </c>
      <c r="I100" s="69">
        <f t="shared" ref="I100:K100" si="93">SUM(I88:I99)</f>
        <v>327802.04000000004</v>
      </c>
      <c r="J100" s="69">
        <f t="shared" si="93"/>
        <v>422866.5</v>
      </c>
      <c r="K100" s="69">
        <f t="shared" si="93"/>
        <v>306464.39999999997</v>
      </c>
      <c r="L100" s="69">
        <f>SUM(L88:L89)</f>
        <v>6456288</v>
      </c>
      <c r="N100" s="69">
        <f>SUM(N88:N99)</f>
        <v>13830672</v>
      </c>
      <c r="O100" s="69">
        <f t="shared" ref="O100:Q100" si="94">SUM(O88:O99)</f>
        <v>393517.04000000004</v>
      </c>
      <c r="P100" s="69">
        <f t="shared" si="94"/>
        <v>869590.5</v>
      </c>
      <c r="Q100" s="69">
        <f t="shared" si="94"/>
        <v>369212.39999999997</v>
      </c>
      <c r="R100" s="69">
        <f>SUM(R88:R89)</f>
        <v>13904796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'FY25'!B104*1.013</f>
        <v>119574.13749119999</v>
      </c>
      <c r="C104" s="7">
        <f>'FY25'!C104*1.013</f>
        <v>0</v>
      </c>
      <c r="D104" s="7"/>
      <c r="E104" s="7"/>
      <c r="F104" s="7">
        <f t="shared" ref="F104:F116" si="101">SUM(B104:E104)</f>
        <v>119574.13749119999</v>
      </c>
      <c r="H104" s="7">
        <f>100000*1.02*1.013</f>
        <v>103325.99999999999</v>
      </c>
      <c r="I104" s="7"/>
      <c r="J104" s="7"/>
      <c r="K104" s="7"/>
      <c r="L104" s="7">
        <f t="shared" ref="L104:L116" si="102">SUM(H104:K104)</f>
        <v>103325.99999999999</v>
      </c>
      <c r="N104" s="7">
        <f>B104+H104</f>
        <v>222900.13749119997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222900.13749119997</v>
      </c>
    </row>
    <row r="105" spans="1:18" x14ac:dyDescent="0.35">
      <c r="A105" s="63" t="s">
        <v>61</v>
      </c>
      <c r="B105" s="7">
        <f>'FY25'!B105*1.013</f>
        <v>160941.17689079998</v>
      </c>
      <c r="C105" s="7">
        <f>'FY25'!C105*1.013</f>
        <v>0</v>
      </c>
      <c r="D105" s="7"/>
      <c r="E105" s="7"/>
      <c r="F105" s="7">
        <f t="shared" si="101"/>
        <v>160941.17689079998</v>
      </c>
      <c r="H105" s="7">
        <f>(80000)*1.013*1.02*1.013</f>
        <v>83735.390399999975</v>
      </c>
      <c r="I105" s="7"/>
      <c r="J105" s="7"/>
      <c r="K105" s="7"/>
      <c r="L105" s="7">
        <f t="shared" si="102"/>
        <v>83735.390399999975</v>
      </c>
      <c r="N105" s="7">
        <f t="shared" ref="N105:N116" si="104">B105+H105</f>
        <v>244676.56729079995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244676.56729079995</v>
      </c>
    </row>
    <row r="106" spans="1:18" x14ac:dyDescent="0.35">
      <c r="A106" s="63" t="s">
        <v>33</v>
      </c>
      <c r="B106" s="7">
        <f>'FY25'!B106*1.013</f>
        <v>62989.947428399988</v>
      </c>
      <c r="C106" s="7">
        <f>'FY25'!C106*1.013</f>
        <v>0</v>
      </c>
      <c r="D106" s="7"/>
      <c r="E106" s="7"/>
      <c r="F106" s="7">
        <f t="shared" si="101"/>
        <v>62989.947428399988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62989.947428399988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62989.947428399988</v>
      </c>
    </row>
    <row r="107" spans="1:18" x14ac:dyDescent="0.35">
      <c r="A107" s="63" t="s">
        <v>408</v>
      </c>
      <c r="B107" s="7">
        <f>'FY25'!B107*1.013</f>
        <v>68328.078566399985</v>
      </c>
      <c r="C107" s="7">
        <f>'FY25'!C107*1.013</f>
        <v>0</v>
      </c>
      <c r="D107" s="7"/>
      <c r="E107" s="7"/>
      <c r="F107" s="7">
        <f t="shared" si="101"/>
        <v>68328.078566399985</v>
      </c>
      <c r="H107" s="7">
        <v>0</v>
      </c>
      <c r="I107" s="7">
        <f>55000*1.02*1.013</f>
        <v>56829.299999999996</v>
      </c>
      <c r="J107" s="7"/>
      <c r="K107" s="7"/>
      <c r="L107" s="7">
        <f t="shared" si="102"/>
        <v>56829.299999999996</v>
      </c>
      <c r="N107" s="7">
        <f t="shared" si="104"/>
        <v>68328.078566399985</v>
      </c>
      <c r="O107" s="7">
        <f t="shared" si="103"/>
        <v>56829.299999999996</v>
      </c>
      <c r="P107" s="7">
        <f t="shared" si="103"/>
        <v>0</v>
      </c>
      <c r="Q107" s="7">
        <f t="shared" si="103"/>
        <v>0</v>
      </c>
      <c r="R107" s="7">
        <f t="shared" si="105"/>
        <v>125157.37856639997</v>
      </c>
    </row>
    <row r="108" spans="1:18" x14ac:dyDescent="0.35">
      <c r="A108" s="63" t="s">
        <v>63</v>
      </c>
      <c r="B108" s="7">
        <f>'FY25'!B108*1.013</f>
        <v>0</v>
      </c>
      <c r="C108" s="7">
        <f>'FY25'!C108*1.013</f>
        <v>71530.957249200001</v>
      </c>
      <c r="D108" s="7"/>
      <c r="E108" s="7"/>
      <c r="F108" s="7">
        <f t="shared" si="101"/>
        <v>71530.957249200001</v>
      </c>
      <c r="H108" s="7">
        <v>0</v>
      </c>
      <c r="I108" s="7">
        <f>57000*1.013</f>
        <v>57740.999999999993</v>
      </c>
      <c r="J108" s="7"/>
      <c r="K108" s="7"/>
      <c r="L108" s="7">
        <f t="shared" si="102"/>
        <v>57740.999999999993</v>
      </c>
      <c r="N108" s="7">
        <f t="shared" si="104"/>
        <v>0</v>
      </c>
      <c r="O108" s="7">
        <f t="shared" si="103"/>
        <v>129271.9572492</v>
      </c>
      <c r="P108" s="7">
        <f t="shared" si="103"/>
        <v>0</v>
      </c>
      <c r="Q108" s="7">
        <f t="shared" si="103"/>
        <v>0</v>
      </c>
      <c r="R108" s="7">
        <f t="shared" si="105"/>
        <v>129271.9572492</v>
      </c>
    </row>
    <row r="109" spans="1:18" x14ac:dyDescent="0.35">
      <c r="A109" s="63" t="s">
        <v>64</v>
      </c>
      <c r="B109" s="7">
        <f>48500*B39</f>
        <v>2037000</v>
      </c>
      <c r="C109" s="7"/>
      <c r="D109" s="7"/>
      <c r="E109" s="7"/>
      <c r="F109" s="7">
        <f t="shared" si="101"/>
        <v>2037000</v>
      </c>
      <c r="G109" s="187">
        <v>48500</v>
      </c>
      <c r="H109" s="7">
        <f>45600*H39</f>
        <v>1687200</v>
      </c>
      <c r="I109" s="7"/>
      <c r="J109" s="7"/>
      <c r="K109" s="7"/>
      <c r="L109" s="7">
        <f t="shared" si="102"/>
        <v>1687200</v>
      </c>
      <c r="M109" s="187">
        <v>45600</v>
      </c>
      <c r="N109" s="7">
        <f t="shared" si="104"/>
        <v>3724200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3724200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48500*D30</f>
        <v>169750</v>
      </c>
      <c r="E111" s="7"/>
      <c r="F111" s="7">
        <f t="shared" si="101"/>
        <v>169750</v>
      </c>
      <c r="H111" s="7">
        <f>43000*H30</f>
        <v>0</v>
      </c>
      <c r="I111" s="7"/>
      <c r="J111" s="7">
        <f>45600*J30</f>
        <v>228000</v>
      </c>
      <c r="K111" s="7"/>
      <c r="L111" s="7">
        <f t="shared" si="102"/>
        <v>228000</v>
      </c>
      <c r="N111" s="7">
        <f t="shared" si="104"/>
        <v>0</v>
      </c>
      <c r="O111" s="7">
        <f t="shared" si="103"/>
        <v>0</v>
      </c>
      <c r="P111" s="7">
        <f t="shared" si="103"/>
        <v>397750</v>
      </c>
      <c r="Q111" s="7">
        <f t="shared" si="103"/>
        <v>0</v>
      </c>
      <c r="R111" s="7">
        <f t="shared" si="105"/>
        <v>397750</v>
      </c>
    </row>
    <row r="112" spans="1:18" x14ac:dyDescent="0.35">
      <c r="A112" s="63" t="s">
        <v>67</v>
      </c>
      <c r="B112" s="7">
        <f>'FY25'!B112*1.013</f>
        <v>112006.9535136739</v>
      </c>
      <c r="C112" s="7"/>
      <c r="D112" s="7"/>
      <c r="E112" s="7"/>
      <c r="F112" s="7">
        <f t="shared" si="101"/>
        <v>112006.9535136739</v>
      </c>
      <c r="H112" s="7">
        <f>((47840+37440)*1.015*1.013*1.02)</f>
        <v>89438.158991999982</v>
      </c>
      <c r="I112" s="7"/>
      <c r="J112" s="7"/>
      <c r="K112" s="7"/>
      <c r="L112" s="7">
        <f t="shared" si="102"/>
        <v>89438.158991999982</v>
      </c>
      <c r="N112" s="7">
        <f t="shared" si="104"/>
        <v>201445.1125056739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201445.1125056739</v>
      </c>
    </row>
    <row r="113" spans="1:18" x14ac:dyDescent="0.35">
      <c r="A113" s="63" t="s">
        <v>68</v>
      </c>
      <c r="B113" s="7">
        <f>(14.75*8*190)*(B50+B51)</f>
        <v>44840</v>
      </c>
      <c r="C113" s="7"/>
      <c r="D113" s="7"/>
      <c r="E113" s="7"/>
      <c r="F113" s="7">
        <f t="shared" si="101"/>
        <v>44840</v>
      </c>
      <c r="H113" s="7">
        <f>(14.25*8*190)*(H50+H51)</f>
        <v>43320</v>
      </c>
      <c r="I113" s="7"/>
      <c r="J113" s="7"/>
      <c r="K113" s="7"/>
      <c r="L113" s="7">
        <f t="shared" si="102"/>
        <v>43320</v>
      </c>
      <c r="N113" s="7">
        <f t="shared" si="104"/>
        <v>88160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88160</v>
      </c>
    </row>
    <row r="114" spans="1:18" x14ac:dyDescent="0.35">
      <c r="A114" s="63" t="s">
        <v>69</v>
      </c>
      <c r="B114" s="7">
        <f>(12.75*8*180)*B52</f>
        <v>0</v>
      </c>
      <c r="C114" s="7">
        <f>(13.75*8*180)*C52</f>
        <v>79200</v>
      </c>
      <c r="D114" s="7">
        <f>(13.75*8*180)*D52</f>
        <v>59400</v>
      </c>
      <c r="E114" s="7"/>
      <c r="F114" s="7">
        <f t="shared" si="101"/>
        <v>138600</v>
      </c>
      <c r="H114" s="7">
        <f>(12.75*8*180)*H52</f>
        <v>0</v>
      </c>
      <c r="I114" s="7">
        <f>(13.25*8*180)*I52</f>
        <v>76320</v>
      </c>
      <c r="J114" s="7">
        <f>(13.25*8*180)*J52</f>
        <v>57240</v>
      </c>
      <c r="K114" s="7"/>
      <c r="L114" s="7">
        <f t="shared" si="102"/>
        <v>133560</v>
      </c>
      <c r="N114" s="7">
        <f t="shared" si="104"/>
        <v>0</v>
      </c>
      <c r="O114" s="7">
        <f t="shared" si="103"/>
        <v>155520</v>
      </c>
      <c r="P114" s="7">
        <f t="shared" si="103"/>
        <v>116640</v>
      </c>
      <c r="Q114" s="7">
        <f t="shared" si="103"/>
        <v>0</v>
      </c>
      <c r="R114" s="7">
        <f t="shared" si="105"/>
        <v>272160</v>
      </c>
    </row>
    <row r="115" spans="1:18" x14ac:dyDescent="0.35">
      <c r="A115" s="63" t="s">
        <v>70</v>
      </c>
      <c r="B115" s="15">
        <f>(26*8*240)</f>
        <v>49920</v>
      </c>
      <c r="C115" s="7"/>
      <c r="D115" s="7"/>
      <c r="E115" s="7"/>
      <c r="F115" s="7">
        <f t="shared" si="101"/>
        <v>49920</v>
      </c>
      <c r="H115" s="15">
        <f>(25.5*8*240)</f>
        <v>48960</v>
      </c>
      <c r="I115" s="7"/>
      <c r="J115" s="7"/>
      <c r="K115" s="7"/>
      <c r="L115" s="7">
        <f t="shared" si="102"/>
        <v>48960</v>
      </c>
      <c r="N115" s="7">
        <f t="shared" si="104"/>
        <v>98880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98880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2655600.2938904739</v>
      </c>
      <c r="C117" s="83">
        <f t="shared" ref="C117:F117" si="106">SUM(C104:C116)</f>
        <v>150730.9572492</v>
      </c>
      <c r="D117" s="83">
        <f t="shared" si="106"/>
        <v>229150</v>
      </c>
      <c r="E117" s="83">
        <f t="shared" si="106"/>
        <v>0</v>
      </c>
      <c r="F117" s="83">
        <f t="shared" si="106"/>
        <v>3035481.2511396739</v>
      </c>
      <c r="H117" s="83">
        <f>SUM(H104:H116)</f>
        <v>2055979.5493919998</v>
      </c>
      <c r="I117" s="83">
        <f t="shared" ref="I117:L117" si="107">SUM(I104:I116)</f>
        <v>190890.3</v>
      </c>
      <c r="J117" s="83">
        <f t="shared" si="107"/>
        <v>285240</v>
      </c>
      <c r="K117" s="83">
        <f t="shared" si="107"/>
        <v>0</v>
      </c>
      <c r="L117" s="83">
        <f t="shared" si="107"/>
        <v>2532109.8493919997</v>
      </c>
      <c r="N117" s="83">
        <f>SUM(N104:N116)</f>
        <v>4711579.8432824742</v>
      </c>
      <c r="O117" s="83">
        <f t="shared" ref="O117:R117" si="108">SUM(O104:O116)</f>
        <v>341621.25724920002</v>
      </c>
      <c r="P117" s="83">
        <f t="shared" si="108"/>
        <v>514390</v>
      </c>
      <c r="Q117" s="83">
        <f t="shared" si="108"/>
        <v>0</v>
      </c>
      <c r="R117" s="83">
        <f t="shared" si="108"/>
        <v>5567591.1005316731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'FY25'!D121*1.013</f>
        <v>51779.872038599984</v>
      </c>
      <c r="E121" s="7"/>
      <c r="F121" s="7">
        <f t="shared" si="115"/>
        <v>51779.872038599984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51779.872038599984</v>
      </c>
      <c r="Q121" s="7">
        <f t="shared" si="117"/>
        <v>0</v>
      </c>
      <c r="R121" s="7">
        <f t="shared" si="118"/>
        <v>51779.872038599984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'FY25'!C125*1.013</f>
        <v>55516.563835199995</v>
      </c>
      <c r="D125" s="7"/>
      <c r="E125" s="7"/>
      <c r="F125" s="7">
        <f t="shared" si="115"/>
        <v>55516.563835199995</v>
      </c>
      <c r="H125" s="7">
        <v>0</v>
      </c>
      <c r="I125" s="7">
        <f>52000*1.013*1.02*1.013</f>
        <v>54428.003759999992</v>
      </c>
      <c r="J125" s="7"/>
      <c r="K125" s="7"/>
      <c r="L125" s="7">
        <f t="shared" si="116"/>
        <v>54428.003759999992</v>
      </c>
      <c r="N125" s="7">
        <f t="shared" si="119"/>
        <v>0</v>
      </c>
      <c r="O125" s="7">
        <f t="shared" si="117"/>
        <v>109944.56759519999</v>
      </c>
      <c r="P125" s="7">
        <f t="shared" si="117"/>
        <v>0</v>
      </c>
      <c r="Q125" s="7">
        <f t="shared" si="117"/>
        <v>0</v>
      </c>
      <c r="R125" s="7">
        <f t="shared" si="118"/>
        <v>109944.56759519999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(14*6*185)*E54</f>
        <v>15540</v>
      </c>
      <c r="F127" s="7">
        <f t="shared" si="115"/>
        <v>15540</v>
      </c>
      <c r="H127" s="150"/>
      <c r="I127" s="7">
        <f t="shared" ref="I127" si="121">(12.5*6*185)*I54</f>
        <v>0</v>
      </c>
      <c r="J127" s="150"/>
      <c r="K127" s="7">
        <f>(13.5*8*185)*K54</f>
        <v>19980</v>
      </c>
      <c r="L127" s="7">
        <f t="shared" si="116"/>
        <v>19980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35520</v>
      </c>
      <c r="R127" s="7">
        <f t="shared" si="118"/>
        <v>35520</v>
      </c>
    </row>
    <row r="128" spans="1:18" x14ac:dyDescent="0.35">
      <c r="A128" s="63" t="s">
        <v>78</v>
      </c>
      <c r="B128" s="37">
        <f>125*180</f>
        <v>22500</v>
      </c>
      <c r="C128" s="37"/>
      <c r="D128" s="37"/>
      <c r="E128" s="37"/>
      <c r="F128" s="7">
        <f t="shared" si="115"/>
        <v>22500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45000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45000</v>
      </c>
    </row>
    <row r="129" spans="1:18" ht="15" thickBot="1" x14ac:dyDescent="0.4">
      <c r="A129" s="82" t="s">
        <v>79</v>
      </c>
      <c r="B129" s="87">
        <f>SUM(B119:B128)</f>
        <v>22500</v>
      </c>
      <c r="C129" s="87">
        <f t="shared" ref="C129" si="122">SUM(C119:C128)</f>
        <v>55516.563835199995</v>
      </c>
      <c r="D129" s="87">
        <f>SUM(D119:D128)</f>
        <v>51779.872038599984</v>
      </c>
      <c r="E129" s="87">
        <f t="shared" ref="E129:F129" si="123">SUM(E119:E128)</f>
        <v>15540</v>
      </c>
      <c r="F129" s="87">
        <f t="shared" si="123"/>
        <v>145336.43587379999</v>
      </c>
      <c r="H129" s="87">
        <f>SUM(H119:H128)</f>
        <v>22500</v>
      </c>
      <c r="I129" s="87">
        <f t="shared" ref="I129" si="124">SUM(I119:I128)</f>
        <v>54428.003759999992</v>
      </c>
      <c r="J129" s="87">
        <f>SUM(J119:J128)</f>
        <v>0</v>
      </c>
      <c r="K129" s="87">
        <f t="shared" ref="K129:L129" si="125">SUM(K119:K128)</f>
        <v>19980</v>
      </c>
      <c r="L129" s="87">
        <f t="shared" si="125"/>
        <v>96908.003759999992</v>
      </c>
      <c r="N129" s="87">
        <f>SUM(N119:N128)</f>
        <v>45000</v>
      </c>
      <c r="O129" s="87">
        <f t="shared" ref="O129" si="126">SUM(O119:O128)</f>
        <v>109944.56759519999</v>
      </c>
      <c r="P129" s="87">
        <f>SUM(P119:P128)</f>
        <v>51779.872038599984</v>
      </c>
      <c r="Q129" s="87">
        <f t="shared" ref="Q129:R129" si="127">SUM(Q119:Q128)</f>
        <v>35520</v>
      </c>
      <c r="R129" s="87">
        <f t="shared" si="127"/>
        <v>242244.43963379998</v>
      </c>
    </row>
    <row r="130" spans="1:18" ht="15" thickBot="1" x14ac:dyDescent="0.4">
      <c r="A130" s="89" t="s">
        <v>80</v>
      </c>
      <c r="B130" s="90">
        <f>B117+B129</f>
        <v>2678100.2938904739</v>
      </c>
      <c r="C130" s="90">
        <f t="shared" ref="C130" si="128">C117+C129</f>
        <v>206247.52108440001</v>
      </c>
      <c r="D130" s="90">
        <f>D117+D129</f>
        <v>280929.87203859998</v>
      </c>
      <c r="E130" s="90">
        <f t="shared" ref="E130:F130" si="129">E117+E129</f>
        <v>15540</v>
      </c>
      <c r="F130" s="90">
        <f t="shared" si="129"/>
        <v>3180817.6870134738</v>
      </c>
      <c r="H130" s="90">
        <f>H117+H129</f>
        <v>2078479.5493919998</v>
      </c>
      <c r="I130" s="90">
        <f t="shared" ref="I130" si="130">I117+I129</f>
        <v>245318.30375999998</v>
      </c>
      <c r="J130" s="90">
        <f>J117+J129</f>
        <v>285240</v>
      </c>
      <c r="K130" s="90">
        <f t="shared" ref="K130:L130" si="131">K117+K129</f>
        <v>19980</v>
      </c>
      <c r="L130" s="90">
        <f t="shared" si="131"/>
        <v>2629017.8531519994</v>
      </c>
      <c r="N130" s="90">
        <f>N117+N129</f>
        <v>4756579.8432824742</v>
      </c>
      <c r="O130" s="90">
        <f t="shared" ref="O130" si="132">O117+O129</f>
        <v>451565.82484439999</v>
      </c>
      <c r="P130" s="90">
        <f>P117+P129</f>
        <v>566169.87203860004</v>
      </c>
      <c r="Q130" s="90">
        <f t="shared" ref="Q130:R130" si="133">Q117+Q129</f>
        <v>35520</v>
      </c>
      <c r="R130" s="90">
        <f t="shared" si="133"/>
        <v>5809835.5401654728</v>
      </c>
    </row>
    <row r="131" spans="1:18" x14ac:dyDescent="0.35">
      <c r="A131" s="63" t="s">
        <v>217</v>
      </c>
      <c r="B131" s="62">
        <f>B130*0.2975</f>
        <v>796734.83743241592</v>
      </c>
      <c r="C131" s="62">
        <f t="shared" ref="C131" si="134">C130*0.2975</f>
        <v>61358.637522609002</v>
      </c>
      <c r="D131" s="62">
        <f>D130*0.2975</f>
        <v>83576.636931483488</v>
      </c>
      <c r="E131" s="62">
        <f t="shared" ref="E131" si="135">E130*0.2975</f>
        <v>4623.1499999999996</v>
      </c>
      <c r="F131" s="62">
        <f>F130*0.2975</f>
        <v>946293.26188650844</v>
      </c>
      <c r="H131" s="62">
        <f>H130*0.2975</f>
        <v>618347.66594411992</v>
      </c>
      <c r="I131" s="62">
        <f t="shared" ref="I131" si="136">I130*0.2975</f>
        <v>72982.195368599991</v>
      </c>
      <c r="J131" s="62">
        <f>J130*0.2975</f>
        <v>84858.9</v>
      </c>
      <c r="K131" s="62">
        <f t="shared" ref="K131" si="137">K130*0.2975</f>
        <v>5944.05</v>
      </c>
      <c r="L131" s="62">
        <f>L130*0.2975</f>
        <v>782132.81131271983</v>
      </c>
      <c r="N131" s="7">
        <f>B131+H131</f>
        <v>1415082.5033765358</v>
      </c>
      <c r="O131" s="7">
        <f t="shared" ref="O131:Q136" si="138">C131+I131</f>
        <v>134340.83289120899</v>
      </c>
      <c r="P131" s="7">
        <f t="shared" si="138"/>
        <v>168435.53693148348</v>
      </c>
      <c r="Q131" s="7">
        <f t="shared" si="138"/>
        <v>10567.2</v>
      </c>
      <c r="R131" s="152">
        <f t="shared" ref="R131:R132" si="139">SUM(N131:Q131)</f>
        <v>1728426.0731992284</v>
      </c>
    </row>
    <row r="132" spans="1:18" x14ac:dyDescent="0.35">
      <c r="A132" s="63" t="s">
        <v>81</v>
      </c>
      <c r="B132" s="7">
        <f>B130*0.19</f>
        <v>508839.05583919003</v>
      </c>
      <c r="C132" s="7">
        <f t="shared" ref="C132:E132" si="140">C130*0.19</f>
        <v>39187.029006036006</v>
      </c>
      <c r="D132" s="7">
        <f t="shared" si="140"/>
        <v>53376.675687333998</v>
      </c>
      <c r="E132" s="7">
        <f t="shared" si="140"/>
        <v>2952.6</v>
      </c>
      <c r="F132" s="7">
        <f>SUM(B132:E132)</f>
        <v>604355.36053256004</v>
      </c>
      <c r="H132" s="7">
        <f>H130*0.19</f>
        <v>394911.11438448</v>
      </c>
      <c r="I132" s="7">
        <f t="shared" ref="I132:K132" si="141">I130*0.19</f>
        <v>46610.477714399996</v>
      </c>
      <c r="J132" s="7">
        <f t="shared" si="141"/>
        <v>54195.6</v>
      </c>
      <c r="K132" s="7">
        <f t="shared" si="141"/>
        <v>3796.2</v>
      </c>
      <c r="L132" s="7">
        <f>SUM(H132:K132)</f>
        <v>499513.39209887997</v>
      </c>
      <c r="N132" s="7">
        <f t="shared" ref="N132:N136" si="142">B132+H132</f>
        <v>903750.17022367008</v>
      </c>
      <c r="O132" s="7">
        <f t="shared" si="138"/>
        <v>85797.506720436009</v>
      </c>
      <c r="P132" s="7">
        <f t="shared" si="138"/>
        <v>107572.275687334</v>
      </c>
      <c r="Q132" s="7">
        <f t="shared" si="138"/>
        <v>6748.7999999999993</v>
      </c>
      <c r="R132" s="152">
        <f t="shared" si="139"/>
        <v>1103868.7526314401</v>
      </c>
    </row>
    <row r="133" spans="1:18" x14ac:dyDescent="0.35">
      <c r="A133" s="63" t="s">
        <v>82</v>
      </c>
      <c r="B133" s="7">
        <f>'FY25'!B133*1.013</f>
        <v>61246.755147599994</v>
      </c>
      <c r="C133" s="7">
        <f>'FY25'!C133*1.013</f>
        <v>4373.7895799999997</v>
      </c>
      <c r="D133" s="7">
        <f>'FY25'!D133*1.013</f>
        <v>6086.4180299999998</v>
      </c>
      <c r="E133" s="7">
        <f>'FY25'!E133*1.013</f>
        <v>447.91820999999999</v>
      </c>
      <c r="F133" s="152">
        <f>SUM(B133:E133)</f>
        <v>72154.880967599995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(125*H67)+(((H42*2000)+(H43*1500)+(H44*1200)+(H46*1200)+(H47*1200)+(H48*1000)+(H49*1000)+(H50*300)+(H51*300)+(H52*300)+(H53*300)+(H54*300)+(H56*1000)+(H57*1000)+(H58*1000)+(H59*1000)+(H60*1000)+(H61*1000)+(H39*1000)+(1000*H55))*0.9)</f>
        <v>45765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4060</v>
      </c>
      <c r="J133" s="152">
        <f t="shared" si="143"/>
        <v>6310</v>
      </c>
      <c r="K133" s="152">
        <f t="shared" si="143"/>
        <v>395</v>
      </c>
      <c r="L133" s="152">
        <f>SUM(H133:K133)</f>
        <v>56530</v>
      </c>
      <c r="N133" s="7">
        <f t="shared" si="142"/>
        <v>107011.75514759999</v>
      </c>
      <c r="O133" s="7">
        <f t="shared" si="138"/>
        <v>8433.7895800000006</v>
      </c>
      <c r="P133" s="7">
        <f t="shared" si="138"/>
        <v>12396.418030000001</v>
      </c>
      <c r="Q133" s="7">
        <f t="shared" si="138"/>
        <v>842.91821000000004</v>
      </c>
      <c r="R133" s="152">
        <f>SUM(N133:Q133)</f>
        <v>128684.88096759999</v>
      </c>
    </row>
    <row r="134" spans="1:18" x14ac:dyDescent="0.35">
      <c r="A134" s="63" t="s">
        <v>83</v>
      </c>
      <c r="B134" s="94"/>
      <c r="C134" s="94"/>
      <c r="D134" s="94"/>
      <c r="E134" s="94"/>
      <c r="F134" s="94"/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ref="R134:R136" si="144">SUM(N134:Q134)</f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7">
        <f t="shared" ref="F135" si="145">1800*3</f>
        <v>5400</v>
      </c>
      <c r="H135" s="7">
        <f>1800*4</f>
        <v>7200</v>
      </c>
      <c r="I135" s="7"/>
      <c r="J135" s="7"/>
      <c r="K135" s="7"/>
      <c r="L135" s="7">
        <f t="shared" ref="L135" si="146">1800*3</f>
        <v>5400</v>
      </c>
      <c r="N135" s="7">
        <f t="shared" si="142"/>
        <v>14400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44"/>
        <v>14400</v>
      </c>
    </row>
    <row r="136" spans="1:18" x14ac:dyDescent="0.35">
      <c r="A136" s="63" t="s">
        <v>218</v>
      </c>
      <c r="B136" s="37">
        <f>(175*10*B39)-B128</f>
        <v>51000</v>
      </c>
      <c r="C136" s="37">
        <f t="shared" ref="C136:E136" si="147">(175*10*C39)-C128</f>
        <v>0</v>
      </c>
      <c r="D136" s="37">
        <f t="shared" si="147"/>
        <v>6125</v>
      </c>
      <c r="E136" s="37">
        <f t="shared" si="147"/>
        <v>0</v>
      </c>
      <c r="F136" s="37">
        <f t="shared" ref="F136" si="148">(165*10*F39)-F128</f>
        <v>52575</v>
      </c>
      <c r="H136" s="37">
        <f>(175*10*H39)-H128</f>
        <v>42250</v>
      </c>
      <c r="I136" s="37">
        <f t="shared" ref="I136:K136" si="149">(175*10*I39)-I128</f>
        <v>0</v>
      </c>
      <c r="J136" s="37">
        <f t="shared" si="149"/>
        <v>8750</v>
      </c>
      <c r="K136" s="37">
        <f t="shared" si="149"/>
        <v>0</v>
      </c>
      <c r="L136" s="37">
        <f t="shared" ref="L136" si="150">(165*10*L39)-L128</f>
        <v>46800</v>
      </c>
      <c r="N136" s="7">
        <f t="shared" si="142"/>
        <v>93250</v>
      </c>
      <c r="O136" s="7">
        <f t="shared" si="138"/>
        <v>0</v>
      </c>
      <c r="P136" s="7">
        <f t="shared" si="138"/>
        <v>14875</v>
      </c>
      <c r="Q136" s="7">
        <f t="shared" si="138"/>
        <v>0</v>
      </c>
      <c r="R136" s="152">
        <f t="shared" si="144"/>
        <v>108125</v>
      </c>
    </row>
    <row r="137" spans="1:18" ht="15" thickBot="1" x14ac:dyDescent="0.4">
      <c r="A137" s="91" t="s">
        <v>85</v>
      </c>
      <c r="B137" s="87">
        <f>SUM(B131:B136)</f>
        <v>1425020.648419206</v>
      </c>
      <c r="C137" s="87">
        <f t="shared" ref="C137" si="151">SUM(C131:C136)</f>
        <v>104919.456108645</v>
      </c>
      <c r="D137" s="87">
        <f>SUM(D131:D136)</f>
        <v>149164.73064881749</v>
      </c>
      <c r="E137" s="87">
        <f t="shared" ref="E137:F137" si="152">SUM(E131:E136)</f>
        <v>8023.6682099999998</v>
      </c>
      <c r="F137" s="87">
        <f t="shared" si="152"/>
        <v>1680778.5033866686</v>
      </c>
      <c r="H137" s="87">
        <f>SUM(H131:H136)</f>
        <v>1108473.7803286</v>
      </c>
      <c r="I137" s="87">
        <f t="shared" ref="I137" si="153">SUM(I131:I136)</f>
        <v>123652.67308299999</v>
      </c>
      <c r="J137" s="87">
        <f>SUM(J131:J136)</f>
        <v>154114.5</v>
      </c>
      <c r="K137" s="87">
        <f t="shared" ref="K137:L137" si="154">SUM(K131:K136)</f>
        <v>10135.25</v>
      </c>
      <c r="L137" s="87">
        <f t="shared" si="154"/>
        <v>1390376.2034115999</v>
      </c>
      <c r="N137" s="87">
        <f>SUM(N131:N136)</f>
        <v>2533494.4287478062</v>
      </c>
      <c r="O137" s="87">
        <f t="shared" ref="O137" si="155">SUM(O131:O136)</f>
        <v>228572.12919164501</v>
      </c>
      <c r="P137" s="87">
        <f>SUM(P131:P136)</f>
        <v>303279.23064881749</v>
      </c>
      <c r="Q137" s="87">
        <f t="shared" ref="Q137:R137" si="156">SUM(Q131:Q136)</f>
        <v>18158.91821</v>
      </c>
      <c r="R137" s="87">
        <f t="shared" si="156"/>
        <v>3083504.706798268</v>
      </c>
    </row>
    <row r="138" spans="1:18" ht="15" thickBot="1" x14ac:dyDescent="0.4">
      <c r="A138" s="95" t="s">
        <v>86</v>
      </c>
      <c r="B138" s="90">
        <f>B130+B137</f>
        <v>4103120.9423096799</v>
      </c>
      <c r="C138" s="90">
        <f t="shared" ref="C138" si="157">C130+C137</f>
        <v>311166.97719304502</v>
      </c>
      <c r="D138" s="90">
        <f>D130+D137</f>
        <v>430094.60268741747</v>
      </c>
      <c r="E138" s="90">
        <f t="shared" ref="E138:F138" si="158">E130+E137</f>
        <v>23563.66821</v>
      </c>
      <c r="F138" s="90">
        <f t="shared" si="158"/>
        <v>4861596.1904001422</v>
      </c>
      <c r="H138" s="90">
        <f>H130+H137</f>
        <v>3186953.3297205996</v>
      </c>
      <c r="I138" s="90">
        <f t="shared" ref="I138" si="159">I130+I137</f>
        <v>368970.97684299998</v>
      </c>
      <c r="J138" s="90">
        <f>J130+J137</f>
        <v>439354.5</v>
      </c>
      <c r="K138" s="90">
        <f t="shared" ref="K138:L138" si="160">K130+K137</f>
        <v>30115.25</v>
      </c>
      <c r="L138" s="90">
        <f t="shared" si="160"/>
        <v>4019394.056563599</v>
      </c>
      <c r="N138" s="90">
        <f>N130+N137</f>
        <v>7290074.2720302809</v>
      </c>
      <c r="O138" s="90">
        <f t="shared" ref="O138" si="161">O130+O137</f>
        <v>680137.954036045</v>
      </c>
      <c r="P138" s="90">
        <f>P130+P137</f>
        <v>869449.10268741753</v>
      </c>
      <c r="Q138" s="90">
        <f t="shared" ref="Q138:R138" si="162">Q130+Q137</f>
        <v>53678.918210000003</v>
      </c>
      <c r="R138" s="90">
        <f t="shared" si="162"/>
        <v>8893340.2469637413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3">C1</f>
        <v>Weights</v>
      </c>
      <c r="D139" s="153" t="str">
        <f>D1</f>
        <v>SPED</v>
      </c>
      <c r="E139" s="153" t="str">
        <f t="shared" ref="E139:F139" si="164">E1</f>
        <v>NSLP</v>
      </c>
      <c r="F139" s="153" t="str">
        <f t="shared" si="164"/>
        <v>Mt. Rose</v>
      </c>
      <c r="H139" s="153" t="str">
        <f>H1</f>
        <v>Operating</v>
      </c>
      <c r="I139" s="153" t="str">
        <f t="shared" ref="I139" si="165">I1</f>
        <v>Weights</v>
      </c>
      <c r="J139" s="153" t="str">
        <f>J1</f>
        <v>SPED</v>
      </c>
      <c r="K139" s="153" t="str">
        <f t="shared" ref="K139:L139" si="166">K1</f>
        <v>NSLP</v>
      </c>
      <c r="L139" s="153" t="str">
        <f t="shared" si="166"/>
        <v>New Campus</v>
      </c>
      <c r="N139" s="153" t="str">
        <f>N1</f>
        <v>Operating</v>
      </c>
      <c r="O139" s="153" t="str">
        <f t="shared" ref="O139" si="167">O1</f>
        <v>Weights</v>
      </c>
      <c r="P139" s="153" t="str">
        <f>P1</f>
        <v>SPED</v>
      </c>
      <c r="Q139" s="153" t="str">
        <f t="shared" ref="Q139:R139" si="168">Q1</f>
        <v>NSLP</v>
      </c>
      <c r="R139" s="153" t="str">
        <f t="shared" si="168"/>
        <v>DANN Total</v>
      </c>
    </row>
    <row r="140" spans="1:18" x14ac:dyDescent="0.35">
      <c r="A140" s="98" t="s">
        <v>88</v>
      </c>
      <c r="B140" s="15">
        <f>150*B19</f>
        <v>149400</v>
      </c>
      <c r="C140" s="15"/>
      <c r="D140" s="15"/>
      <c r="E140" s="15"/>
      <c r="F140" s="15">
        <f t="shared" ref="F140:F148" si="169">SUM(B140:E140)</f>
        <v>149400</v>
      </c>
      <c r="H140" s="15">
        <f>150*H19</f>
        <v>130800</v>
      </c>
      <c r="I140" s="15"/>
      <c r="J140" s="15"/>
      <c r="K140" s="15"/>
      <c r="L140" s="15">
        <f t="shared" ref="L140:L148" si="170">SUM(H140:K140)</f>
        <v>130800</v>
      </c>
      <c r="N140" s="7">
        <f t="shared" ref="N140:Q149" si="171">B140+H140</f>
        <v>280200</v>
      </c>
      <c r="O140" s="7">
        <f t="shared" si="171"/>
        <v>0</v>
      </c>
      <c r="P140" s="7">
        <f t="shared" si="171"/>
        <v>0</v>
      </c>
      <c r="Q140" s="7">
        <f t="shared" si="171"/>
        <v>0</v>
      </c>
      <c r="R140" s="15">
        <f t="shared" ref="R140:R148" si="172">SUM(N140:Q140)</f>
        <v>280200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9"/>
        <v>0</v>
      </c>
      <c r="H141" s="7">
        <v>0</v>
      </c>
      <c r="I141" s="7"/>
      <c r="J141" s="7"/>
      <c r="K141" s="7"/>
      <c r="L141" s="15">
        <f t="shared" si="170"/>
        <v>0</v>
      </c>
      <c r="N141" s="7">
        <f t="shared" si="171"/>
        <v>0</v>
      </c>
      <c r="O141" s="7">
        <f t="shared" si="171"/>
        <v>0</v>
      </c>
      <c r="P141" s="7">
        <f t="shared" si="171"/>
        <v>0</v>
      </c>
      <c r="Q141" s="7">
        <f t="shared" si="171"/>
        <v>0</v>
      </c>
      <c r="R141" s="15">
        <f t="shared" si="172"/>
        <v>0</v>
      </c>
    </row>
    <row r="142" spans="1:18" x14ac:dyDescent="0.35">
      <c r="A142" s="63" t="s">
        <v>89</v>
      </c>
      <c r="B142" s="11">
        <v>120000</v>
      </c>
      <c r="C142" s="11"/>
      <c r="D142" s="11"/>
      <c r="E142" s="11"/>
      <c r="F142" s="15">
        <f t="shared" si="169"/>
        <v>120000</v>
      </c>
      <c r="H142" s="11">
        <v>225000</v>
      </c>
      <c r="I142" s="11"/>
      <c r="J142" s="11"/>
      <c r="K142" s="11"/>
      <c r="L142" s="15">
        <f t="shared" si="170"/>
        <v>225000</v>
      </c>
      <c r="N142" s="7">
        <f t="shared" si="171"/>
        <v>345000</v>
      </c>
      <c r="O142" s="7">
        <f t="shared" si="171"/>
        <v>0</v>
      </c>
      <c r="P142" s="7">
        <f t="shared" si="171"/>
        <v>0</v>
      </c>
      <c r="Q142" s="7">
        <f t="shared" si="171"/>
        <v>0</v>
      </c>
      <c r="R142" s="15">
        <f t="shared" si="172"/>
        <v>345000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9"/>
        <v>0</v>
      </c>
      <c r="H143" s="7"/>
      <c r="I143" s="7">
        <v>0</v>
      </c>
      <c r="J143" s="7"/>
      <c r="K143" s="7"/>
      <c r="L143" s="15">
        <f t="shared" si="170"/>
        <v>0</v>
      </c>
      <c r="N143" s="7">
        <f t="shared" si="171"/>
        <v>0</v>
      </c>
      <c r="O143" s="7">
        <f t="shared" si="171"/>
        <v>0</v>
      </c>
      <c r="P143" s="7">
        <f t="shared" si="171"/>
        <v>0</v>
      </c>
      <c r="Q143" s="7">
        <f t="shared" si="171"/>
        <v>0</v>
      </c>
      <c r="R143" s="15">
        <f t="shared" si="172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3">13*C19</f>
        <v>0</v>
      </c>
      <c r="D144" s="7"/>
      <c r="E144" s="7"/>
      <c r="F144" s="15">
        <f t="shared" si="169"/>
        <v>13944</v>
      </c>
      <c r="H144" s="7">
        <f>14*H19</f>
        <v>12208</v>
      </c>
      <c r="I144" s="7">
        <f t="shared" ref="I144" si="174">13*I19</f>
        <v>0</v>
      </c>
      <c r="J144" s="7"/>
      <c r="K144" s="7"/>
      <c r="L144" s="15">
        <f t="shared" si="170"/>
        <v>12208</v>
      </c>
      <c r="N144" s="7">
        <f t="shared" si="171"/>
        <v>26152</v>
      </c>
      <c r="O144" s="7">
        <f t="shared" si="171"/>
        <v>0</v>
      </c>
      <c r="P144" s="7">
        <f t="shared" si="171"/>
        <v>0</v>
      </c>
      <c r="Q144" s="7">
        <f t="shared" si="171"/>
        <v>0</v>
      </c>
      <c r="R144" s="15">
        <f t="shared" si="172"/>
        <v>26152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9"/>
        <v>28884</v>
      </c>
      <c r="H145" s="7">
        <f>(29*H19)</f>
        <v>25288</v>
      </c>
      <c r="I145" s="7">
        <v>0</v>
      </c>
      <c r="J145" s="7"/>
      <c r="K145" s="7"/>
      <c r="L145" s="15">
        <f t="shared" si="170"/>
        <v>25288</v>
      </c>
      <c r="N145" s="7">
        <f t="shared" si="171"/>
        <v>54172</v>
      </c>
      <c r="O145" s="7">
        <f t="shared" si="171"/>
        <v>0</v>
      </c>
      <c r="P145" s="7">
        <f t="shared" si="171"/>
        <v>0</v>
      </c>
      <c r="Q145" s="7">
        <f t="shared" si="171"/>
        <v>0</v>
      </c>
      <c r="R145" s="15">
        <f t="shared" si="172"/>
        <v>54172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5">4*C19</f>
        <v>0</v>
      </c>
      <c r="D146" s="7"/>
      <c r="E146" s="7"/>
      <c r="F146" s="15">
        <f t="shared" si="169"/>
        <v>4233</v>
      </c>
      <c r="H146" s="7">
        <f>4.25*H19</f>
        <v>3706</v>
      </c>
      <c r="I146" s="7">
        <f t="shared" ref="I146" si="176">4*I19</f>
        <v>0</v>
      </c>
      <c r="J146" s="7"/>
      <c r="K146" s="7"/>
      <c r="L146" s="15">
        <f t="shared" si="170"/>
        <v>3706</v>
      </c>
      <c r="N146" s="7">
        <f t="shared" si="171"/>
        <v>7939</v>
      </c>
      <c r="O146" s="7">
        <f t="shared" si="171"/>
        <v>0</v>
      </c>
      <c r="P146" s="7">
        <f t="shared" si="171"/>
        <v>0</v>
      </c>
      <c r="Q146" s="7">
        <f t="shared" si="171"/>
        <v>0</v>
      </c>
      <c r="R146" s="15">
        <f t="shared" si="172"/>
        <v>7939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7">3*C19</f>
        <v>0</v>
      </c>
      <c r="D147" s="7"/>
      <c r="E147" s="7"/>
      <c r="F147" s="15">
        <f t="shared" si="169"/>
        <v>3237</v>
      </c>
      <c r="H147" s="7">
        <f>3.25*H19</f>
        <v>2834</v>
      </c>
      <c r="I147" s="7">
        <f t="shared" ref="I147" si="178">3*I19</f>
        <v>0</v>
      </c>
      <c r="J147" s="7"/>
      <c r="K147" s="7"/>
      <c r="L147" s="15">
        <f t="shared" si="170"/>
        <v>2834</v>
      </c>
      <c r="N147" s="7">
        <f t="shared" si="171"/>
        <v>6071</v>
      </c>
      <c r="O147" s="7">
        <f t="shared" si="171"/>
        <v>0</v>
      </c>
      <c r="P147" s="7">
        <f t="shared" si="171"/>
        <v>0</v>
      </c>
      <c r="Q147" s="7">
        <f t="shared" si="171"/>
        <v>0</v>
      </c>
      <c r="R147" s="15">
        <f t="shared" si="172"/>
        <v>6071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9">120*C22</f>
        <v>0</v>
      </c>
      <c r="D148" s="7">
        <f>129*D22</f>
        <v>13932</v>
      </c>
      <c r="E148" s="7"/>
      <c r="F148" s="15">
        <f t="shared" si="169"/>
        <v>13932</v>
      </c>
      <c r="H148" s="7">
        <f>120*H22</f>
        <v>0</v>
      </c>
      <c r="I148" s="7">
        <f t="shared" ref="I148" si="180">120*I22</f>
        <v>0</v>
      </c>
      <c r="J148" s="7">
        <f>129*J22</f>
        <v>15811.53</v>
      </c>
      <c r="K148" s="7"/>
      <c r="L148" s="15">
        <f t="shared" si="170"/>
        <v>15811.53</v>
      </c>
      <c r="N148" s="7">
        <f t="shared" si="171"/>
        <v>0</v>
      </c>
      <c r="O148" s="7">
        <f t="shared" si="171"/>
        <v>0</v>
      </c>
      <c r="P148" s="7">
        <f t="shared" si="171"/>
        <v>29743.53</v>
      </c>
      <c r="Q148" s="7">
        <f t="shared" si="171"/>
        <v>0</v>
      </c>
      <c r="R148" s="15">
        <f t="shared" si="172"/>
        <v>29743.53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71"/>
        <v>0</v>
      </c>
      <c r="O149" s="7">
        <f t="shared" si="171"/>
        <v>0</v>
      </c>
      <c r="P149" s="7">
        <f t="shared" si="171"/>
        <v>0</v>
      </c>
      <c r="Q149" s="7">
        <f t="shared" si="171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319698</v>
      </c>
      <c r="C150" s="92">
        <f t="shared" ref="C150:F150" si="181">SUM(C140:C149)</f>
        <v>0</v>
      </c>
      <c r="D150" s="92">
        <f t="shared" si="181"/>
        <v>13932</v>
      </c>
      <c r="E150" s="92">
        <f t="shared" si="181"/>
        <v>0</v>
      </c>
      <c r="F150" s="92">
        <f t="shared" si="181"/>
        <v>333630</v>
      </c>
      <c r="H150" s="92">
        <f>SUM(H140:H149)</f>
        <v>399836</v>
      </c>
      <c r="I150" s="92">
        <f t="shared" ref="I150:L150" si="182">SUM(I140:I149)</f>
        <v>0</v>
      </c>
      <c r="J150" s="92">
        <f t="shared" si="182"/>
        <v>15811.53</v>
      </c>
      <c r="K150" s="92">
        <f t="shared" si="182"/>
        <v>0</v>
      </c>
      <c r="L150" s="92">
        <f t="shared" si="182"/>
        <v>415647.53</v>
      </c>
      <c r="N150" s="92">
        <f>SUM(N140:N149)</f>
        <v>719534</v>
      </c>
      <c r="O150" s="92">
        <f t="shared" ref="O150:R150" si="183">SUM(O140:O149)</f>
        <v>0</v>
      </c>
      <c r="P150" s="92">
        <f t="shared" si="183"/>
        <v>29743.53</v>
      </c>
      <c r="Q150" s="92">
        <f t="shared" si="183"/>
        <v>0</v>
      </c>
      <c r="R150" s="92">
        <f t="shared" si="183"/>
        <v>749277.53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4">C1</f>
        <v>Weights</v>
      </c>
      <c r="D151" s="153" t="str">
        <f>D1</f>
        <v>SPED</v>
      </c>
      <c r="E151" s="153" t="str">
        <f t="shared" ref="E151:F151" si="185">E1</f>
        <v>NSLP</v>
      </c>
      <c r="F151" s="153" t="str">
        <f t="shared" si="185"/>
        <v>Mt. Rose</v>
      </c>
      <c r="H151" s="153" t="str">
        <f>H1</f>
        <v>Operating</v>
      </c>
      <c r="I151" s="153" t="str">
        <f t="shared" ref="I151" si="186">I1</f>
        <v>Weights</v>
      </c>
      <c r="J151" s="153" t="str">
        <f>J1</f>
        <v>SPED</v>
      </c>
      <c r="K151" s="153" t="str">
        <f t="shared" ref="K151:L151" si="187">K1</f>
        <v>NSLP</v>
      </c>
      <c r="L151" s="153" t="str">
        <f t="shared" si="187"/>
        <v>New Campus</v>
      </c>
      <c r="N151" s="153" t="str">
        <f>N1</f>
        <v>Operating</v>
      </c>
      <c r="O151" s="153" t="str">
        <f t="shared" ref="O151" si="188">O1</f>
        <v>Weights</v>
      </c>
      <c r="P151" s="153" t="str">
        <f>P1</f>
        <v>SPED</v>
      </c>
      <c r="Q151" s="153" t="str">
        <f t="shared" ref="Q151:R151" si="189">Q1</f>
        <v>NSLP</v>
      </c>
      <c r="R151" s="153" t="str">
        <f t="shared" si="189"/>
        <v>DANN Total</v>
      </c>
    </row>
    <row r="152" spans="1:18" x14ac:dyDescent="0.35">
      <c r="A152" s="63" t="s">
        <v>99</v>
      </c>
      <c r="B152" s="80">
        <v>0</v>
      </c>
      <c r="C152" s="80">
        <f>12500*1.03</f>
        <v>12875</v>
      </c>
      <c r="D152" s="80"/>
      <c r="E152" s="80"/>
      <c r="F152" s="80">
        <f t="shared" ref="F152:F163" si="190">SUM(B152:E152)</f>
        <v>12875</v>
      </c>
      <c r="H152" s="80">
        <v>0</v>
      </c>
      <c r="I152" s="80">
        <f>12500*1.03</f>
        <v>12875</v>
      </c>
      <c r="J152" s="80"/>
      <c r="K152" s="80"/>
      <c r="L152" s="80">
        <f t="shared" ref="L152:L163" si="191">SUM(H152:K152)</f>
        <v>12875</v>
      </c>
      <c r="N152" s="7">
        <f t="shared" ref="N152:Q164" si="192">B152+H152</f>
        <v>0</v>
      </c>
      <c r="O152" s="7">
        <f t="shared" si="192"/>
        <v>25750</v>
      </c>
      <c r="P152" s="7">
        <f t="shared" si="192"/>
        <v>0</v>
      </c>
      <c r="Q152" s="7">
        <f t="shared" si="192"/>
        <v>0</v>
      </c>
      <c r="R152" s="80">
        <f t="shared" ref="R152:R163" si="193">SUM(N152:Q152)</f>
        <v>25750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90"/>
        <v>258960</v>
      </c>
      <c r="H153" s="14">
        <v>0</v>
      </c>
      <c r="I153" s="146"/>
      <c r="J153" s="11">
        <f>245*H19</f>
        <v>213640</v>
      </c>
      <c r="K153" s="146"/>
      <c r="L153" s="80">
        <f t="shared" si="191"/>
        <v>213640</v>
      </c>
      <c r="N153" s="7">
        <f t="shared" si="192"/>
        <v>0</v>
      </c>
      <c r="O153" s="7">
        <f t="shared" si="192"/>
        <v>0</v>
      </c>
      <c r="P153" s="7">
        <f t="shared" si="192"/>
        <v>472600</v>
      </c>
      <c r="Q153" s="7">
        <f t="shared" si="192"/>
        <v>0</v>
      </c>
      <c r="R153" s="80">
        <f t="shared" si="193"/>
        <v>472600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90"/>
        <v>0</v>
      </c>
      <c r="H154" s="11">
        <v>0</v>
      </c>
      <c r="I154" s="146"/>
      <c r="J154" s="14"/>
      <c r="K154" s="146"/>
      <c r="L154" s="80">
        <f t="shared" si="191"/>
        <v>0</v>
      </c>
      <c r="N154" s="7">
        <f t="shared" si="192"/>
        <v>0</v>
      </c>
      <c r="O154" s="7">
        <f t="shared" si="192"/>
        <v>0</v>
      </c>
      <c r="P154" s="7">
        <f t="shared" si="192"/>
        <v>0</v>
      </c>
      <c r="Q154" s="7">
        <f t="shared" si="192"/>
        <v>0</v>
      </c>
      <c r="R154" s="80">
        <f t="shared" si="193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90"/>
        <v>448200</v>
      </c>
      <c r="H155" s="7">
        <f>(450*H19)</f>
        <v>392400</v>
      </c>
      <c r="I155" s="7"/>
      <c r="J155" s="7"/>
      <c r="K155" s="7"/>
      <c r="L155" s="80">
        <f t="shared" si="191"/>
        <v>392400</v>
      </c>
      <c r="N155" s="7">
        <f t="shared" si="192"/>
        <v>840600</v>
      </c>
      <c r="O155" s="7">
        <f t="shared" si="192"/>
        <v>0</v>
      </c>
      <c r="P155" s="7">
        <f t="shared" si="192"/>
        <v>0</v>
      </c>
      <c r="Q155" s="7">
        <f t="shared" si="192"/>
        <v>0</v>
      </c>
      <c r="R155" s="80">
        <f t="shared" si="193"/>
        <v>840600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90"/>
        <v>14460</v>
      </c>
      <c r="H156" s="7">
        <f>(240*H67)+1500</f>
        <v>12300</v>
      </c>
      <c r="I156" s="7"/>
      <c r="J156" s="7"/>
      <c r="K156" s="7"/>
      <c r="L156" s="80">
        <f t="shared" si="191"/>
        <v>12300</v>
      </c>
      <c r="N156" s="7">
        <f t="shared" si="192"/>
        <v>26760</v>
      </c>
      <c r="O156" s="7">
        <f t="shared" si="192"/>
        <v>0</v>
      </c>
      <c r="P156" s="7">
        <f t="shared" si="192"/>
        <v>0</v>
      </c>
      <c r="Q156" s="7">
        <f t="shared" si="192"/>
        <v>0</v>
      </c>
      <c r="R156" s="80">
        <f t="shared" si="193"/>
        <v>26760</v>
      </c>
    </row>
    <row r="157" spans="1:18" x14ac:dyDescent="0.35">
      <c r="A157" s="63" t="s">
        <v>104</v>
      </c>
      <c r="B157" s="7">
        <f>(28500*1.03*1.03)*0.5</f>
        <v>15117.825000000001</v>
      </c>
      <c r="C157" s="7"/>
      <c r="D157" s="7"/>
      <c r="E157" s="7"/>
      <c r="F157" s="80">
        <f t="shared" si="190"/>
        <v>15117.825000000001</v>
      </c>
      <c r="H157" s="7">
        <f>(28500*1.03*1.03)*0.5</f>
        <v>15117.825000000001</v>
      </c>
      <c r="I157" s="7"/>
      <c r="J157" s="7"/>
      <c r="K157" s="7"/>
      <c r="L157" s="80">
        <f t="shared" si="191"/>
        <v>15117.825000000001</v>
      </c>
      <c r="N157" s="7">
        <f t="shared" si="192"/>
        <v>30235.65</v>
      </c>
      <c r="O157" s="7">
        <f t="shared" si="192"/>
        <v>0</v>
      </c>
      <c r="P157" s="7">
        <f t="shared" si="192"/>
        <v>0</v>
      </c>
      <c r="Q157" s="7">
        <f t="shared" si="192"/>
        <v>0</v>
      </c>
      <c r="R157" s="80">
        <f t="shared" si="193"/>
        <v>30235.65</v>
      </c>
    </row>
    <row r="158" spans="1:18" x14ac:dyDescent="0.35">
      <c r="A158" s="63" t="s">
        <v>105</v>
      </c>
      <c r="B158" s="7">
        <v>5500</v>
      </c>
      <c r="C158" s="7"/>
      <c r="D158" s="7"/>
      <c r="E158" s="7"/>
      <c r="F158" s="80">
        <f t="shared" si="190"/>
        <v>5500</v>
      </c>
      <c r="H158" s="7">
        <v>5500</v>
      </c>
      <c r="I158" s="7"/>
      <c r="J158" s="7"/>
      <c r="K158" s="7"/>
      <c r="L158" s="80">
        <f t="shared" si="191"/>
        <v>5500</v>
      </c>
      <c r="N158" s="7">
        <f t="shared" si="192"/>
        <v>11000</v>
      </c>
      <c r="O158" s="7">
        <f t="shared" si="192"/>
        <v>0</v>
      </c>
      <c r="P158" s="7">
        <f t="shared" si="192"/>
        <v>0</v>
      </c>
      <c r="Q158" s="7">
        <f t="shared" si="192"/>
        <v>0</v>
      </c>
      <c r="R158" s="80">
        <f t="shared" si="193"/>
        <v>11000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90"/>
        <v>44820</v>
      </c>
      <c r="H159" s="7">
        <f>45*H19</f>
        <v>39240</v>
      </c>
      <c r="I159" s="7"/>
      <c r="J159" s="7"/>
      <c r="K159" s="7"/>
      <c r="L159" s="80">
        <f t="shared" si="191"/>
        <v>39240</v>
      </c>
      <c r="N159" s="7">
        <f t="shared" si="192"/>
        <v>84060</v>
      </c>
      <c r="O159" s="7">
        <f t="shared" si="192"/>
        <v>0</v>
      </c>
      <c r="P159" s="7">
        <f t="shared" si="192"/>
        <v>0</v>
      </c>
      <c r="Q159" s="7">
        <f t="shared" si="192"/>
        <v>0</v>
      </c>
      <c r="R159" s="80">
        <f t="shared" si="193"/>
        <v>84060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90"/>
        <v>8500</v>
      </c>
      <c r="H160" s="7">
        <v>12000</v>
      </c>
      <c r="I160" s="7"/>
      <c r="J160" s="7"/>
      <c r="K160" s="7"/>
      <c r="L160" s="80">
        <f t="shared" si="191"/>
        <v>12000</v>
      </c>
      <c r="N160" s="7">
        <f t="shared" si="192"/>
        <v>20500</v>
      </c>
      <c r="O160" s="7">
        <f t="shared" si="192"/>
        <v>0</v>
      </c>
      <c r="P160" s="7">
        <f t="shared" si="192"/>
        <v>0</v>
      </c>
      <c r="Q160" s="7">
        <f t="shared" si="192"/>
        <v>0</v>
      </c>
      <c r="R160" s="80">
        <f t="shared" si="193"/>
        <v>20500</v>
      </c>
    </row>
    <row r="161" spans="1:18" x14ac:dyDescent="0.35">
      <c r="A161" s="63" t="s">
        <v>219</v>
      </c>
      <c r="B161" s="7">
        <f>(B88+B89)*0.0125</f>
        <v>92179.8</v>
      </c>
      <c r="C161" s="7"/>
      <c r="D161" s="7"/>
      <c r="E161" s="7"/>
      <c r="F161" s="80">
        <f t="shared" si="190"/>
        <v>92179.8</v>
      </c>
      <c r="H161" s="7">
        <f>(H88+H89)*0.0125</f>
        <v>80703.600000000006</v>
      </c>
      <c r="I161" s="7"/>
      <c r="J161" s="7"/>
      <c r="K161" s="7"/>
      <c r="L161" s="80">
        <f t="shared" si="191"/>
        <v>80703.600000000006</v>
      </c>
      <c r="N161" s="7">
        <f t="shared" si="192"/>
        <v>172883.40000000002</v>
      </c>
      <c r="O161" s="7">
        <f t="shared" si="192"/>
        <v>0</v>
      </c>
      <c r="P161" s="7">
        <f t="shared" si="192"/>
        <v>0</v>
      </c>
      <c r="Q161" s="7">
        <f t="shared" si="192"/>
        <v>0</v>
      </c>
      <c r="R161" s="80">
        <f t="shared" si="193"/>
        <v>172883.40000000002</v>
      </c>
    </row>
    <row r="162" spans="1:18" x14ac:dyDescent="0.35">
      <c r="A162" s="63" t="s">
        <v>108</v>
      </c>
      <c r="B162" s="7">
        <f>(B88+B89)*0.005</f>
        <v>36871.919999999998</v>
      </c>
      <c r="C162" s="7"/>
      <c r="D162" s="7"/>
      <c r="E162" s="7"/>
      <c r="F162" s="80">
        <f t="shared" si="190"/>
        <v>36871.919999999998</v>
      </c>
      <c r="H162" s="7">
        <f>(H88+H89)*0.005</f>
        <v>32281.440000000002</v>
      </c>
      <c r="I162" s="7"/>
      <c r="J162" s="7"/>
      <c r="K162" s="7"/>
      <c r="L162" s="80">
        <f t="shared" si="191"/>
        <v>32281.440000000002</v>
      </c>
      <c r="N162" s="7">
        <f t="shared" si="192"/>
        <v>69153.36</v>
      </c>
      <c r="O162" s="7">
        <f t="shared" si="192"/>
        <v>0</v>
      </c>
      <c r="P162" s="7">
        <f t="shared" si="192"/>
        <v>0</v>
      </c>
      <c r="Q162" s="7">
        <f t="shared" si="192"/>
        <v>0</v>
      </c>
      <c r="R162" s="80">
        <f t="shared" si="193"/>
        <v>69153.36</v>
      </c>
    </row>
    <row r="163" spans="1:18" x14ac:dyDescent="0.35">
      <c r="A163" s="63" t="s">
        <v>109</v>
      </c>
      <c r="B163" s="7">
        <f>(B88+B89)*0.005</f>
        <v>36871.919999999998</v>
      </c>
      <c r="C163" s="7"/>
      <c r="D163" s="7"/>
      <c r="E163" s="7"/>
      <c r="F163" s="80">
        <f t="shared" si="190"/>
        <v>36871.919999999998</v>
      </c>
      <c r="H163" s="7">
        <f>(H88+H89)*0.005</f>
        <v>32281.440000000002</v>
      </c>
      <c r="I163" s="7"/>
      <c r="J163" s="7"/>
      <c r="K163" s="7"/>
      <c r="L163" s="80">
        <f t="shared" si="191"/>
        <v>32281.440000000002</v>
      </c>
      <c r="N163" s="7">
        <f t="shared" si="192"/>
        <v>69153.36</v>
      </c>
      <c r="O163" s="7">
        <f t="shared" si="192"/>
        <v>0</v>
      </c>
      <c r="P163" s="7">
        <f t="shared" si="192"/>
        <v>0</v>
      </c>
      <c r="Q163" s="7">
        <f t="shared" si="192"/>
        <v>0</v>
      </c>
      <c r="R163" s="80">
        <f t="shared" si="193"/>
        <v>69153.36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92"/>
        <v>0</v>
      </c>
      <c r="O164" s="7">
        <f t="shared" si="192"/>
        <v>0</v>
      </c>
      <c r="P164" s="7">
        <f t="shared" si="192"/>
        <v>0</v>
      </c>
      <c r="Q164" s="7">
        <f t="shared" si="192"/>
        <v>0</v>
      </c>
      <c r="R164" s="81"/>
    </row>
    <row r="165" spans="1:18" ht="15" thickBot="1" x14ac:dyDescent="0.4">
      <c r="A165" s="95" t="s">
        <v>111</v>
      </c>
      <c r="B165" s="92">
        <f>SUM(B152:B164)</f>
        <v>702521.46500000008</v>
      </c>
      <c r="C165" s="92">
        <f t="shared" ref="C165" si="194">SUM(C152:C164)</f>
        <v>12875</v>
      </c>
      <c r="D165" s="92">
        <f>SUM(D152:D164)</f>
        <v>258960</v>
      </c>
      <c r="E165" s="92">
        <f t="shared" ref="E165:F165" si="195">SUM(E152:E164)</f>
        <v>0</v>
      </c>
      <c r="F165" s="92">
        <f t="shared" si="195"/>
        <v>974356.46500000008</v>
      </c>
      <c r="H165" s="92">
        <f>SUM(H152:H164)</f>
        <v>621824.30499999993</v>
      </c>
      <c r="I165" s="92">
        <f t="shared" ref="I165" si="196">SUM(I152:I164)</f>
        <v>12875</v>
      </c>
      <c r="J165" s="92">
        <f>SUM(J152:J164)</f>
        <v>213640</v>
      </c>
      <c r="K165" s="92">
        <f t="shared" ref="K165:L165" si="197">SUM(K152:K164)</f>
        <v>0</v>
      </c>
      <c r="L165" s="92">
        <f t="shared" si="197"/>
        <v>848339.30499999993</v>
      </c>
      <c r="N165" s="92">
        <f>SUM(N152:N164)</f>
        <v>1324345.7700000003</v>
      </c>
      <c r="O165" s="92">
        <f t="shared" ref="O165" si="198">SUM(O152:O164)</f>
        <v>25750</v>
      </c>
      <c r="P165" s="92">
        <f>SUM(P152:P164)</f>
        <v>472600</v>
      </c>
      <c r="Q165" s="92">
        <f t="shared" ref="Q165:R165" si="199">SUM(Q152:Q164)</f>
        <v>0</v>
      </c>
      <c r="R165" s="92">
        <f t="shared" si="199"/>
        <v>1822695.77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200">C151</f>
        <v>Weights</v>
      </c>
      <c r="D166" s="153" t="str">
        <f>D151</f>
        <v>SPED</v>
      </c>
      <c r="E166" s="153" t="str">
        <f t="shared" ref="E166:F166" si="201">E151</f>
        <v>NSLP</v>
      </c>
      <c r="F166" s="153" t="str">
        <f t="shared" si="201"/>
        <v>Mt. Rose</v>
      </c>
      <c r="H166" s="153" t="str">
        <f>H151</f>
        <v>Operating</v>
      </c>
      <c r="I166" s="153" t="str">
        <f t="shared" ref="I166" si="202">I151</f>
        <v>Weights</v>
      </c>
      <c r="J166" s="153" t="str">
        <f>J151</f>
        <v>SPED</v>
      </c>
      <c r="K166" s="153" t="str">
        <f t="shared" ref="K166:L166" si="203">K151</f>
        <v>NSLP</v>
      </c>
      <c r="L166" s="153" t="str">
        <f t="shared" si="203"/>
        <v>New Campus</v>
      </c>
      <c r="N166" s="153" t="str">
        <f>N151</f>
        <v>Operating</v>
      </c>
      <c r="O166" s="153" t="str">
        <f t="shared" ref="O166" si="204">O151</f>
        <v>Weights</v>
      </c>
      <c r="P166" s="153" t="str">
        <f>P151</f>
        <v>SPED</v>
      </c>
      <c r="Q166" s="153" t="str">
        <f t="shared" ref="Q166:R166" si="205">Q151</f>
        <v>NSLP</v>
      </c>
      <c r="R166" s="153" t="str">
        <f t="shared" si="205"/>
        <v>DANN Total</v>
      </c>
    </row>
    <row r="167" spans="1:18" x14ac:dyDescent="0.35">
      <c r="A167" s="63" t="s">
        <v>113</v>
      </c>
      <c r="B167" s="15">
        <f>'FY25'!B167*1.02</f>
        <v>17938.784880000003</v>
      </c>
      <c r="C167" s="15"/>
      <c r="D167" s="7"/>
      <c r="E167" s="7"/>
      <c r="F167" s="7">
        <f t="shared" ref="F167:F173" si="206">SUM(B167:E167)</f>
        <v>17938.784880000003</v>
      </c>
      <c r="H167" s="15">
        <f>(1320*12+(75*12))*1.03*1.04</f>
        <v>17931.888000000003</v>
      </c>
      <c r="I167" s="15"/>
      <c r="J167" s="7"/>
      <c r="K167" s="7"/>
      <c r="L167" s="7">
        <f t="shared" ref="L167:L173" si="207">SUM(H167:K167)</f>
        <v>17931.888000000003</v>
      </c>
      <c r="N167" s="7">
        <f t="shared" ref="N167:Q173" si="208">B167+H167</f>
        <v>35870.672880000006</v>
      </c>
      <c r="O167" s="7">
        <f t="shared" si="208"/>
        <v>0</v>
      </c>
      <c r="P167" s="7">
        <f t="shared" si="208"/>
        <v>0</v>
      </c>
      <c r="Q167" s="7">
        <f t="shared" si="208"/>
        <v>0</v>
      </c>
      <c r="R167" s="7">
        <f t="shared" ref="R167:R173" si="209">SUM(N167:Q167)</f>
        <v>35870.672880000006</v>
      </c>
    </row>
    <row r="168" spans="1:18" x14ac:dyDescent="0.35">
      <c r="A168" s="63" t="s">
        <v>114</v>
      </c>
      <c r="B168" s="15">
        <f>'FY25'!B168*1.02</f>
        <v>4179.2867999999999</v>
      </c>
      <c r="C168" s="15"/>
      <c r="D168" s="7"/>
      <c r="E168" s="7"/>
      <c r="F168" s="7">
        <f t="shared" si="206"/>
        <v>4179.2867999999999</v>
      </c>
      <c r="H168" s="15">
        <f>(325*12)*1.03*1.04</f>
        <v>4177.68</v>
      </c>
      <c r="I168" s="15"/>
      <c r="J168" s="7"/>
      <c r="K168" s="7"/>
      <c r="L168" s="7">
        <f t="shared" si="207"/>
        <v>4177.68</v>
      </c>
      <c r="N168" s="7">
        <f t="shared" si="208"/>
        <v>8356.9668000000001</v>
      </c>
      <c r="O168" s="7">
        <f t="shared" si="208"/>
        <v>0</v>
      </c>
      <c r="P168" s="7">
        <f t="shared" si="208"/>
        <v>0</v>
      </c>
      <c r="Q168" s="7">
        <f t="shared" si="208"/>
        <v>0</v>
      </c>
      <c r="R168" s="7">
        <f t="shared" si="209"/>
        <v>8356.9668000000001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6"/>
        <v>0</v>
      </c>
      <c r="H169" s="7"/>
      <c r="I169" s="7"/>
      <c r="J169" s="7"/>
      <c r="K169" s="7"/>
      <c r="L169" s="7">
        <f t="shared" si="207"/>
        <v>0</v>
      </c>
      <c r="N169" s="7">
        <f t="shared" si="208"/>
        <v>0</v>
      </c>
      <c r="O169" s="7">
        <f t="shared" si="208"/>
        <v>0</v>
      </c>
      <c r="P169" s="7">
        <f t="shared" si="208"/>
        <v>0</v>
      </c>
      <c r="Q169" s="7">
        <f t="shared" si="208"/>
        <v>0</v>
      </c>
      <c r="R169" s="7">
        <f t="shared" si="209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6"/>
        <v>800</v>
      </c>
      <c r="H170" s="7">
        <v>700</v>
      </c>
      <c r="I170" s="7"/>
      <c r="J170" s="7"/>
      <c r="K170" s="7"/>
      <c r="L170" s="7">
        <f t="shared" si="207"/>
        <v>700</v>
      </c>
      <c r="N170" s="7">
        <f t="shared" si="208"/>
        <v>1500</v>
      </c>
      <c r="O170" s="7">
        <f t="shared" si="208"/>
        <v>0</v>
      </c>
      <c r="P170" s="7">
        <f t="shared" si="208"/>
        <v>0</v>
      </c>
      <c r="Q170" s="7">
        <f t="shared" si="208"/>
        <v>0</v>
      </c>
      <c r="R170" s="7">
        <f t="shared" si="209"/>
        <v>1500</v>
      </c>
    </row>
    <row r="171" spans="1:18" x14ac:dyDescent="0.35">
      <c r="A171" s="63" t="s">
        <v>117</v>
      </c>
      <c r="B171" s="7">
        <v>4800</v>
      </c>
      <c r="C171" s="7"/>
      <c r="D171" s="7"/>
      <c r="E171" s="7"/>
      <c r="F171" s="7">
        <f t="shared" si="206"/>
        <v>4800</v>
      </c>
      <c r="H171" s="7">
        <v>4800</v>
      </c>
      <c r="I171" s="7"/>
      <c r="J171" s="7"/>
      <c r="K171" s="7"/>
      <c r="L171" s="7">
        <f t="shared" si="207"/>
        <v>4800</v>
      </c>
      <c r="N171" s="7">
        <f t="shared" si="208"/>
        <v>9600</v>
      </c>
      <c r="O171" s="7">
        <f t="shared" si="208"/>
        <v>0</v>
      </c>
      <c r="P171" s="7">
        <f t="shared" si="208"/>
        <v>0</v>
      </c>
      <c r="Q171" s="7">
        <f t="shared" si="208"/>
        <v>0</v>
      </c>
      <c r="R171" s="7">
        <f t="shared" si="209"/>
        <v>9600</v>
      </c>
    </row>
    <row r="172" spans="1:18" x14ac:dyDescent="0.35">
      <c r="A172" s="63" t="s">
        <v>118</v>
      </c>
      <c r="B172" s="15">
        <f>30000*1.03*1.03</f>
        <v>31827</v>
      </c>
      <c r="C172" s="7"/>
      <c r="D172" s="7"/>
      <c r="E172" s="7"/>
      <c r="F172" s="7">
        <f t="shared" si="206"/>
        <v>31827</v>
      </c>
      <c r="H172" s="15">
        <f>30000*1.03*1.03</f>
        <v>31827</v>
      </c>
      <c r="I172" s="7"/>
      <c r="J172" s="7"/>
      <c r="K172" s="7"/>
      <c r="L172" s="7">
        <f t="shared" si="207"/>
        <v>31827</v>
      </c>
      <c r="N172" s="7">
        <f t="shared" si="208"/>
        <v>63654</v>
      </c>
      <c r="O172" s="7">
        <f t="shared" si="208"/>
        <v>0</v>
      </c>
      <c r="P172" s="7">
        <f t="shared" si="208"/>
        <v>0</v>
      </c>
      <c r="Q172" s="7">
        <f t="shared" si="208"/>
        <v>0</v>
      </c>
      <c r="R172" s="7">
        <f t="shared" si="209"/>
        <v>63654</v>
      </c>
    </row>
    <row r="173" spans="1:18" ht="15" thickBot="1" x14ac:dyDescent="0.4">
      <c r="A173" s="63" t="s">
        <v>119</v>
      </c>
      <c r="B173" s="7">
        <f>3200*1.03*1.03</f>
        <v>3394.88</v>
      </c>
      <c r="C173" s="7"/>
      <c r="D173" s="7"/>
      <c r="E173" s="7"/>
      <c r="F173" s="7">
        <f t="shared" si="206"/>
        <v>3394.88</v>
      </c>
      <c r="H173" s="7">
        <f>3200*1.03*1.03</f>
        <v>3394.88</v>
      </c>
      <c r="I173" s="7"/>
      <c r="J173" s="7"/>
      <c r="K173" s="7"/>
      <c r="L173" s="7">
        <f t="shared" si="207"/>
        <v>3394.88</v>
      </c>
      <c r="N173" s="7">
        <f t="shared" si="208"/>
        <v>6789.76</v>
      </c>
      <c r="O173" s="7">
        <f t="shared" si="208"/>
        <v>0</v>
      </c>
      <c r="P173" s="7">
        <f t="shared" si="208"/>
        <v>0</v>
      </c>
      <c r="Q173" s="7">
        <f t="shared" si="208"/>
        <v>0</v>
      </c>
      <c r="R173" s="7">
        <f t="shared" si="209"/>
        <v>6789.76</v>
      </c>
    </row>
    <row r="174" spans="1:18" ht="15" thickBot="1" x14ac:dyDescent="0.4">
      <c r="A174" s="95" t="s">
        <v>120</v>
      </c>
      <c r="B174" s="92">
        <f>SUM(B167:B173)</f>
        <v>62939.951679999998</v>
      </c>
      <c r="C174" s="92">
        <f t="shared" ref="C174:F174" si="210">SUM(C167:C173)</f>
        <v>0</v>
      </c>
      <c r="D174" s="92">
        <f t="shared" si="210"/>
        <v>0</v>
      </c>
      <c r="E174" s="92">
        <f t="shared" si="210"/>
        <v>0</v>
      </c>
      <c r="F174" s="92">
        <f t="shared" si="210"/>
        <v>62939.951679999998</v>
      </c>
      <c r="H174" s="92">
        <f>SUM(H167:H173)</f>
        <v>62831.447999999997</v>
      </c>
      <c r="I174" s="92">
        <f t="shared" ref="I174:L174" si="211">SUM(I167:I173)</f>
        <v>0</v>
      </c>
      <c r="J174" s="92">
        <f t="shared" si="211"/>
        <v>0</v>
      </c>
      <c r="K174" s="92">
        <f t="shared" si="211"/>
        <v>0</v>
      </c>
      <c r="L174" s="92">
        <f t="shared" si="211"/>
        <v>62831.447999999997</v>
      </c>
      <c r="N174" s="92">
        <f>SUM(N167:N173)</f>
        <v>125771.39968</v>
      </c>
      <c r="O174" s="92">
        <f t="shared" ref="O174:R174" si="212">SUM(O167:O173)</f>
        <v>0</v>
      </c>
      <c r="P174" s="92">
        <f t="shared" si="212"/>
        <v>0</v>
      </c>
      <c r="Q174" s="92">
        <f t="shared" si="212"/>
        <v>0</v>
      </c>
      <c r="R174" s="92">
        <f t="shared" si="212"/>
        <v>125771.39968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'FY25'!B176*1.06</f>
        <v>14411.293600000005</v>
      </c>
      <c r="C176" s="15"/>
      <c r="D176" s="15"/>
      <c r="E176" s="15"/>
      <c r="F176" s="15">
        <f>SUM(B176:E176)</f>
        <v>14411.293600000005</v>
      </c>
      <c r="H176" s="15">
        <f>(37525*1.06*1.06)*0.33</f>
        <v>13913.819700000002</v>
      </c>
      <c r="I176" s="15"/>
      <c r="J176" s="15"/>
      <c r="K176" s="15"/>
      <c r="L176" s="15">
        <f>SUM(H176:K176)</f>
        <v>13913.819700000002</v>
      </c>
      <c r="N176" s="7">
        <f t="shared" ref="N176:Q178" si="213">B176+H176</f>
        <v>28325.113300000005</v>
      </c>
      <c r="O176" s="7">
        <f t="shared" si="213"/>
        <v>0</v>
      </c>
      <c r="P176" s="7">
        <f t="shared" si="213"/>
        <v>0</v>
      </c>
      <c r="Q176" s="7">
        <f t="shared" si="213"/>
        <v>0</v>
      </c>
      <c r="R176" s="15">
        <f>SUM(N176:Q176)</f>
        <v>28325.113300000005</v>
      </c>
    </row>
    <row r="177" spans="1:18" x14ac:dyDescent="0.35">
      <c r="A177" s="63" t="s">
        <v>122</v>
      </c>
      <c r="B177" s="15">
        <f>'FY25'!B177*1.06</f>
        <v>13101.176000000001</v>
      </c>
      <c r="C177" s="7"/>
      <c r="D177" s="7"/>
      <c r="E177" s="7"/>
      <c r="F177" s="15">
        <f>SUM(B177:E177)</f>
        <v>13101.176000000001</v>
      </c>
      <c r="H177" s="15">
        <f>(37525*1.06*1.06)*0.33</f>
        <v>13913.819700000002</v>
      </c>
      <c r="I177" s="7"/>
      <c r="J177" s="7"/>
      <c r="K177" s="7"/>
      <c r="L177" s="15">
        <f>SUM(H177:K177)</f>
        <v>13913.819700000002</v>
      </c>
      <c r="N177" s="7">
        <f t="shared" si="213"/>
        <v>27014.995700000003</v>
      </c>
      <c r="O177" s="7">
        <f t="shared" si="213"/>
        <v>0</v>
      </c>
      <c r="P177" s="7">
        <f t="shared" si="213"/>
        <v>0</v>
      </c>
      <c r="Q177" s="7">
        <f t="shared" si="213"/>
        <v>0</v>
      </c>
      <c r="R177" s="15">
        <f>SUM(N177:Q177)</f>
        <v>27014.995700000003</v>
      </c>
    </row>
    <row r="178" spans="1:18" ht="15" thickBot="1" x14ac:dyDescent="0.4">
      <c r="A178" s="63" t="s">
        <v>123</v>
      </c>
      <c r="B178" s="15">
        <f>'FY25'!B178*1.06</f>
        <v>22927.058000000001</v>
      </c>
      <c r="C178" s="7"/>
      <c r="D178" s="7"/>
      <c r="E178" s="7"/>
      <c r="F178" s="15">
        <f>SUM(B178:E178)</f>
        <v>22927.058000000001</v>
      </c>
      <c r="H178" s="15">
        <f>(37525*1.06*1.06)*0.33</f>
        <v>13913.819700000002</v>
      </c>
      <c r="I178" s="7"/>
      <c r="J178" s="7"/>
      <c r="K178" s="7"/>
      <c r="L178" s="15">
        <f>SUM(H178:K178)</f>
        <v>13913.819700000002</v>
      </c>
      <c r="N178" s="7">
        <f t="shared" si="213"/>
        <v>36840.877700000005</v>
      </c>
      <c r="O178" s="7">
        <f t="shared" si="213"/>
        <v>0</v>
      </c>
      <c r="P178" s="7">
        <f t="shared" si="213"/>
        <v>0</v>
      </c>
      <c r="Q178" s="7">
        <f t="shared" si="213"/>
        <v>0</v>
      </c>
      <c r="R178" s="15">
        <f>SUM(N178:Q178)</f>
        <v>36840.877700000005</v>
      </c>
    </row>
    <row r="179" spans="1:18" ht="15" thickBot="1" x14ac:dyDescent="0.4">
      <c r="A179" s="95" t="s">
        <v>124</v>
      </c>
      <c r="B179" s="92">
        <f>SUM(B176:B178)</f>
        <v>50439.527600000001</v>
      </c>
      <c r="C179" s="92">
        <f t="shared" ref="C179:F179" si="214">SUM(C176:C178)</f>
        <v>0</v>
      </c>
      <c r="D179" s="92">
        <f t="shared" si="214"/>
        <v>0</v>
      </c>
      <c r="E179" s="92">
        <f t="shared" si="214"/>
        <v>0</v>
      </c>
      <c r="F179" s="92">
        <f t="shared" si="214"/>
        <v>50439.527600000001</v>
      </c>
      <c r="H179" s="92">
        <f>SUM(H176:H178)</f>
        <v>41741.459100000007</v>
      </c>
      <c r="I179" s="92">
        <f t="shared" ref="I179:L179" si="215">SUM(I176:I178)</f>
        <v>0</v>
      </c>
      <c r="J179" s="92">
        <f t="shared" si="215"/>
        <v>0</v>
      </c>
      <c r="K179" s="92">
        <f t="shared" si="215"/>
        <v>0</v>
      </c>
      <c r="L179" s="92">
        <f t="shared" si="215"/>
        <v>41741.459100000007</v>
      </c>
      <c r="N179" s="92">
        <f>SUM(N176:N178)</f>
        <v>92180.986700000009</v>
      </c>
      <c r="O179" s="92">
        <f t="shared" ref="O179:R179" si="216">SUM(O176:O178)</f>
        <v>0</v>
      </c>
      <c r="P179" s="92">
        <f t="shared" si="216"/>
        <v>0</v>
      </c>
      <c r="Q179" s="92">
        <f t="shared" si="216"/>
        <v>0</v>
      </c>
      <c r="R179" s="92">
        <f t="shared" si="216"/>
        <v>92180.986700000009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7">C1</f>
        <v>Weights</v>
      </c>
      <c r="D180" s="96" t="str">
        <f>D1</f>
        <v>SPED</v>
      </c>
      <c r="E180" s="96" t="str">
        <f t="shared" ref="E180:F180" si="218">E1</f>
        <v>NSLP</v>
      </c>
      <c r="F180" s="96" t="str">
        <f t="shared" si="218"/>
        <v>Mt. Rose</v>
      </c>
      <c r="H180" s="96" t="str">
        <f>H1</f>
        <v>Operating</v>
      </c>
      <c r="I180" s="96" t="str">
        <f t="shared" ref="I180" si="219">I1</f>
        <v>Weights</v>
      </c>
      <c r="J180" s="96" t="str">
        <f>J1</f>
        <v>SPED</v>
      </c>
      <c r="K180" s="96" t="str">
        <f t="shared" ref="K180:L180" si="220">K1</f>
        <v>NSLP</v>
      </c>
      <c r="L180" s="96" t="str">
        <f t="shared" si="220"/>
        <v>New Campus</v>
      </c>
      <c r="N180" s="96" t="str">
        <f>N1</f>
        <v>Operating</v>
      </c>
      <c r="O180" s="96" t="str">
        <f t="shared" ref="O180" si="221">O1</f>
        <v>Weights</v>
      </c>
      <c r="P180" s="96" t="str">
        <f>P1</f>
        <v>SPED</v>
      </c>
      <c r="Q180" s="96" t="str">
        <f t="shared" ref="Q180:R180" si="222">Q1</f>
        <v>NSLP</v>
      </c>
      <c r="R180" s="96" t="str">
        <f t="shared" si="222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((B19*E25)*3.6*180)+1000</f>
        <v>65540.800000000017</v>
      </c>
      <c r="F181" s="14">
        <f t="shared" ref="F181:F189" si="223">SUM(B181:E181)</f>
        <v>65540.800000000017</v>
      </c>
      <c r="H181" s="146">
        <v>0</v>
      </c>
      <c r="I181" s="146"/>
      <c r="J181" s="146"/>
      <c r="K181" s="14">
        <f>((H19*K25)*3.65*180)+1000</f>
        <v>316097.2</v>
      </c>
      <c r="L181" s="14">
        <f t="shared" ref="L181:L189" si="224">SUM(H181:K181)</f>
        <v>316097.2</v>
      </c>
      <c r="N181" s="7">
        <f t="shared" ref="N181:Q189" si="225">B181+H181</f>
        <v>0</v>
      </c>
      <c r="O181" s="7">
        <f t="shared" si="225"/>
        <v>0</v>
      </c>
      <c r="P181" s="7">
        <f t="shared" si="225"/>
        <v>0</v>
      </c>
      <c r="Q181" s="7">
        <f t="shared" si="225"/>
        <v>381638</v>
      </c>
      <c r="R181" s="14">
        <f t="shared" ref="R181:R189" si="226">SUM(N181:Q181)</f>
        <v>381638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3"/>
        <v>1500</v>
      </c>
      <c r="H182" s="7">
        <v>5000</v>
      </c>
      <c r="I182" s="7"/>
      <c r="J182" s="7"/>
      <c r="K182" s="7"/>
      <c r="L182" s="14">
        <f t="shared" si="224"/>
        <v>5000</v>
      </c>
      <c r="N182" s="7">
        <f t="shared" si="225"/>
        <v>6500</v>
      </c>
      <c r="O182" s="7">
        <f t="shared" si="225"/>
        <v>0</v>
      </c>
      <c r="P182" s="7">
        <f t="shared" si="225"/>
        <v>0</v>
      </c>
      <c r="Q182" s="7">
        <f t="shared" si="225"/>
        <v>0</v>
      </c>
      <c r="R182" s="14">
        <f t="shared" si="226"/>
        <v>6500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3"/>
        <v>1250</v>
      </c>
      <c r="H183" s="7">
        <v>1250</v>
      </c>
      <c r="I183" s="7"/>
      <c r="J183" s="7"/>
      <c r="K183" s="7"/>
      <c r="L183" s="14">
        <f t="shared" si="224"/>
        <v>1250</v>
      </c>
      <c r="N183" s="7">
        <f t="shared" si="225"/>
        <v>2500</v>
      </c>
      <c r="O183" s="7">
        <f t="shared" si="225"/>
        <v>0</v>
      </c>
      <c r="P183" s="7">
        <f t="shared" si="225"/>
        <v>0</v>
      </c>
      <c r="Q183" s="7">
        <f t="shared" si="225"/>
        <v>0</v>
      </c>
      <c r="R183" s="14">
        <f t="shared" si="226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3"/>
        <v>750</v>
      </c>
      <c r="H184" s="7">
        <f>75*10</f>
        <v>750</v>
      </c>
      <c r="I184" s="7"/>
      <c r="J184" s="7"/>
      <c r="K184" s="7"/>
      <c r="L184" s="14">
        <f t="shared" si="224"/>
        <v>750</v>
      </c>
      <c r="N184" s="7">
        <f t="shared" si="225"/>
        <v>1500</v>
      </c>
      <c r="O184" s="7">
        <f t="shared" si="225"/>
        <v>0</v>
      </c>
      <c r="P184" s="7">
        <f t="shared" si="225"/>
        <v>0</v>
      </c>
      <c r="Q184" s="7">
        <f t="shared" si="225"/>
        <v>0</v>
      </c>
      <c r="R184" s="14">
        <f t="shared" si="226"/>
        <v>1500</v>
      </c>
    </row>
    <row r="185" spans="1:18" x14ac:dyDescent="0.35">
      <c r="A185" s="63" t="s">
        <v>130</v>
      </c>
      <c r="B185" s="15">
        <v>11500</v>
      </c>
      <c r="C185" s="15"/>
      <c r="D185" s="15"/>
      <c r="E185" s="15"/>
      <c r="F185" s="14">
        <f t="shared" si="223"/>
        <v>11500</v>
      </c>
      <c r="H185" s="15">
        <v>6500</v>
      </c>
      <c r="I185" s="15"/>
      <c r="J185" s="15"/>
      <c r="K185" s="15"/>
      <c r="L185" s="14">
        <f t="shared" si="224"/>
        <v>6500</v>
      </c>
      <c r="N185" s="7">
        <f t="shared" si="225"/>
        <v>18000</v>
      </c>
      <c r="O185" s="7">
        <f t="shared" si="225"/>
        <v>0</v>
      </c>
      <c r="P185" s="7">
        <f t="shared" si="225"/>
        <v>0</v>
      </c>
      <c r="Q185" s="7">
        <f t="shared" si="225"/>
        <v>0</v>
      </c>
      <c r="R185" s="14">
        <f t="shared" si="226"/>
        <v>18000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3"/>
        <v>0</v>
      </c>
      <c r="H186" s="159"/>
      <c r="I186" s="152"/>
      <c r="J186" s="152"/>
      <c r="K186" s="152"/>
      <c r="L186" s="14">
        <f t="shared" si="224"/>
        <v>0</v>
      </c>
      <c r="N186" s="7">
        <f t="shared" si="225"/>
        <v>0</v>
      </c>
      <c r="O186" s="7">
        <f t="shared" si="225"/>
        <v>0</v>
      </c>
      <c r="P186" s="7">
        <f t="shared" si="225"/>
        <v>0</v>
      </c>
      <c r="Q186" s="7">
        <f t="shared" si="225"/>
        <v>0</v>
      </c>
      <c r="R186" s="14">
        <f t="shared" si="226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3"/>
        <v>0</v>
      </c>
      <c r="H187" s="159"/>
      <c r="I187" s="15"/>
      <c r="J187" s="15"/>
      <c r="K187" s="15"/>
      <c r="L187" s="14">
        <f t="shared" si="224"/>
        <v>0</v>
      </c>
      <c r="N187" s="7">
        <f t="shared" si="225"/>
        <v>0</v>
      </c>
      <c r="O187" s="7">
        <f t="shared" si="225"/>
        <v>0</v>
      </c>
      <c r="P187" s="7">
        <f t="shared" si="225"/>
        <v>0</v>
      </c>
      <c r="Q187" s="7">
        <f t="shared" si="225"/>
        <v>0</v>
      </c>
      <c r="R187" s="14">
        <f t="shared" si="226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3"/>
        <v>0</v>
      </c>
      <c r="H188" s="159"/>
      <c r="I188" s="15"/>
      <c r="J188" s="15"/>
      <c r="K188" s="15"/>
      <c r="L188" s="14">
        <f t="shared" si="224"/>
        <v>0</v>
      </c>
      <c r="N188" s="7">
        <f t="shared" si="225"/>
        <v>0</v>
      </c>
      <c r="O188" s="7">
        <f t="shared" si="225"/>
        <v>0</v>
      </c>
      <c r="P188" s="7">
        <f t="shared" si="225"/>
        <v>0</v>
      </c>
      <c r="Q188" s="7">
        <f t="shared" si="225"/>
        <v>0</v>
      </c>
      <c r="R188" s="14">
        <f t="shared" si="226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3"/>
        <v>1750</v>
      </c>
      <c r="H189" s="7">
        <v>1750</v>
      </c>
      <c r="I189" s="7"/>
      <c r="J189" s="7"/>
      <c r="K189" s="7"/>
      <c r="L189" s="14">
        <f t="shared" si="224"/>
        <v>1750</v>
      </c>
      <c r="N189" s="7">
        <f t="shared" si="225"/>
        <v>3500</v>
      </c>
      <c r="O189" s="7">
        <f t="shared" si="225"/>
        <v>0</v>
      </c>
      <c r="P189" s="7">
        <f t="shared" si="225"/>
        <v>0</v>
      </c>
      <c r="Q189" s="7">
        <f t="shared" si="225"/>
        <v>0</v>
      </c>
      <c r="R189" s="14">
        <f t="shared" si="226"/>
        <v>3500</v>
      </c>
    </row>
    <row r="190" spans="1:18" ht="15" thickBot="1" x14ac:dyDescent="0.4">
      <c r="A190" s="95" t="s">
        <v>135</v>
      </c>
      <c r="B190" s="92">
        <f>SUM(B181:B189)</f>
        <v>16750</v>
      </c>
      <c r="C190" s="92">
        <f t="shared" ref="C190:F190" si="227">SUM(C181:C189)</f>
        <v>0</v>
      </c>
      <c r="D190" s="92">
        <f t="shared" si="227"/>
        <v>0</v>
      </c>
      <c r="E190" s="92">
        <f t="shared" si="227"/>
        <v>65540.800000000017</v>
      </c>
      <c r="F190" s="92">
        <f t="shared" si="227"/>
        <v>82290.800000000017</v>
      </c>
      <c r="H190" s="92">
        <f>SUM(H181:H189)</f>
        <v>15250</v>
      </c>
      <c r="I190" s="92">
        <f t="shared" ref="I190:L190" si="228">SUM(I181:I189)</f>
        <v>0</v>
      </c>
      <c r="J190" s="92">
        <f t="shared" si="228"/>
        <v>0</v>
      </c>
      <c r="K190" s="92">
        <f t="shared" si="228"/>
        <v>316097.2</v>
      </c>
      <c r="L190" s="92">
        <f t="shared" si="228"/>
        <v>331347.20000000001</v>
      </c>
      <c r="N190" s="92">
        <f>SUM(N181:N189)</f>
        <v>32000</v>
      </c>
      <c r="O190" s="92">
        <f t="shared" ref="O190:R190" si="229">SUM(O181:O189)</f>
        <v>0</v>
      </c>
      <c r="P190" s="92">
        <f t="shared" si="229"/>
        <v>0</v>
      </c>
      <c r="Q190" s="92">
        <f t="shared" si="229"/>
        <v>381638</v>
      </c>
      <c r="R190" s="92">
        <f t="shared" si="229"/>
        <v>413638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30">C180</f>
        <v>Weights</v>
      </c>
      <c r="D191" s="77" t="str">
        <f>D180</f>
        <v>SPED</v>
      </c>
      <c r="E191" s="77" t="str">
        <f t="shared" ref="E191:F191" si="231">E180</f>
        <v>NSLP</v>
      </c>
      <c r="F191" s="77" t="str">
        <f t="shared" si="231"/>
        <v>Mt. Rose</v>
      </c>
      <c r="H191" s="77" t="str">
        <f>H180</f>
        <v>Operating</v>
      </c>
      <c r="I191" s="77" t="str">
        <f t="shared" ref="I191" si="232">I180</f>
        <v>Weights</v>
      </c>
      <c r="J191" s="77" t="str">
        <f>J180</f>
        <v>SPED</v>
      </c>
      <c r="K191" s="77" t="str">
        <f t="shared" ref="K191:L191" si="233">K180</f>
        <v>NSLP</v>
      </c>
      <c r="L191" s="77" t="str">
        <f t="shared" si="233"/>
        <v>New Campus</v>
      </c>
      <c r="N191" s="77" t="str">
        <f>N180</f>
        <v>Operating</v>
      </c>
      <c r="O191" s="77" t="str">
        <f t="shared" ref="O191" si="234">O180</f>
        <v>Weights</v>
      </c>
      <c r="P191" s="77" t="str">
        <f>P180</f>
        <v>SPED</v>
      </c>
      <c r="Q191" s="77" t="str">
        <f t="shared" ref="Q191:R191" si="235">Q180</f>
        <v>NSLP</v>
      </c>
      <c r="R191" s="77" t="str">
        <f t="shared" si="235"/>
        <v>DANN Total</v>
      </c>
    </row>
    <row r="192" spans="1:18" x14ac:dyDescent="0.35">
      <c r="A192" s="63" t="s">
        <v>137</v>
      </c>
      <c r="B192" s="62">
        <f>'FY25'!B192*1.03</f>
        <v>65563.62</v>
      </c>
      <c r="C192" s="62"/>
      <c r="D192" s="62"/>
      <c r="E192" s="62"/>
      <c r="F192" s="62">
        <f t="shared" ref="F192:F202" si="236">SUM(B192:E192)</f>
        <v>65563.62</v>
      </c>
      <c r="H192" s="62">
        <f>(3675*12)*1.04*1.04*1.04</f>
        <v>49606.502400000005</v>
      </c>
      <c r="I192" s="62"/>
      <c r="J192" s="62"/>
      <c r="K192" s="62"/>
      <c r="L192" s="62">
        <f t="shared" ref="L192:L202" si="237">SUM(H192:K192)</f>
        <v>49606.502400000005</v>
      </c>
      <c r="N192" s="7">
        <f t="shared" ref="N192:Q202" si="238">B192+H192</f>
        <v>115170.12239999999</v>
      </c>
      <c r="O192" s="7">
        <f t="shared" si="238"/>
        <v>0</v>
      </c>
      <c r="P192" s="7">
        <f t="shared" si="238"/>
        <v>0</v>
      </c>
      <c r="Q192" s="7">
        <f t="shared" si="238"/>
        <v>0</v>
      </c>
      <c r="R192" s="62">
        <f t="shared" ref="R192:R202" si="239">SUM(N192:Q192)</f>
        <v>115170.12239999999</v>
      </c>
    </row>
    <row r="193" spans="1:18" x14ac:dyDescent="0.35">
      <c r="A193" s="63" t="s">
        <v>138</v>
      </c>
      <c r="B193" s="62">
        <f>'FY25'!B193*1.03</f>
        <v>4152.3626000000004</v>
      </c>
      <c r="C193" s="15"/>
      <c r="D193" s="15"/>
      <c r="E193" s="15"/>
      <c r="F193" s="62">
        <f t="shared" si="236"/>
        <v>4152.3626000000004</v>
      </c>
      <c r="H193" s="15">
        <v>0</v>
      </c>
      <c r="I193" s="15"/>
      <c r="J193" s="15"/>
      <c r="K193" s="15"/>
      <c r="L193" s="62">
        <f t="shared" si="237"/>
        <v>0</v>
      </c>
      <c r="N193" s="7">
        <f t="shared" si="238"/>
        <v>4152.3626000000004</v>
      </c>
      <c r="O193" s="7">
        <f t="shared" si="238"/>
        <v>0</v>
      </c>
      <c r="P193" s="7">
        <f t="shared" si="238"/>
        <v>0</v>
      </c>
      <c r="Q193" s="7">
        <f t="shared" si="238"/>
        <v>0</v>
      </c>
      <c r="R193" s="62">
        <f t="shared" si="239"/>
        <v>4152.3626000000004</v>
      </c>
    </row>
    <row r="194" spans="1:18" x14ac:dyDescent="0.35">
      <c r="A194" s="63" t="s">
        <v>139</v>
      </c>
      <c r="B194" s="62">
        <f>'FY25'!B194*1.03</f>
        <v>6556.362000000001</v>
      </c>
      <c r="C194" s="7"/>
      <c r="D194" s="7"/>
      <c r="E194" s="7"/>
      <c r="F194" s="62">
        <f t="shared" si="236"/>
        <v>6556.362000000001</v>
      </c>
      <c r="H194" s="7">
        <f>(350*12)*1.04*1.04*1.04</f>
        <v>4724.4288000000006</v>
      </c>
      <c r="I194" s="7"/>
      <c r="J194" s="7"/>
      <c r="K194" s="7"/>
      <c r="L194" s="62">
        <f t="shared" si="237"/>
        <v>4724.4288000000006</v>
      </c>
      <c r="N194" s="7">
        <f t="shared" si="238"/>
        <v>11280.790800000002</v>
      </c>
      <c r="O194" s="7">
        <f t="shared" si="238"/>
        <v>0</v>
      </c>
      <c r="P194" s="7">
        <f t="shared" si="238"/>
        <v>0</v>
      </c>
      <c r="Q194" s="7">
        <f t="shared" si="238"/>
        <v>0</v>
      </c>
      <c r="R194" s="62">
        <f t="shared" si="239"/>
        <v>11280.790800000002</v>
      </c>
    </row>
    <row r="195" spans="1:18" x14ac:dyDescent="0.35">
      <c r="A195" s="63" t="s">
        <v>140</v>
      </c>
      <c r="B195" s="62">
        <f>'FY25'!B195*1.03</f>
        <v>26225.448000000004</v>
      </c>
      <c r="C195" s="7"/>
      <c r="D195" s="7"/>
      <c r="E195" s="7"/>
      <c r="F195" s="62">
        <f t="shared" si="236"/>
        <v>26225.448000000004</v>
      </c>
      <c r="H195" s="7">
        <f>((165*12)+(845*12)+3500)*1.04*1.04*1.04</f>
        <v>17570.375680000001</v>
      </c>
      <c r="I195" s="7"/>
      <c r="J195" s="7"/>
      <c r="K195" s="7"/>
      <c r="L195" s="62">
        <f t="shared" si="237"/>
        <v>17570.375680000001</v>
      </c>
      <c r="N195" s="7">
        <f t="shared" si="238"/>
        <v>43795.823680000001</v>
      </c>
      <c r="O195" s="7">
        <f t="shared" si="238"/>
        <v>0</v>
      </c>
      <c r="P195" s="7">
        <f t="shared" si="238"/>
        <v>0</v>
      </c>
      <c r="Q195" s="7">
        <f t="shared" si="238"/>
        <v>0</v>
      </c>
      <c r="R195" s="62">
        <f t="shared" si="239"/>
        <v>43795.823680000001</v>
      </c>
    </row>
    <row r="196" spans="1:18" x14ac:dyDescent="0.35">
      <c r="A196" s="63" t="s">
        <v>141</v>
      </c>
      <c r="B196" s="62">
        <f>'FY25'!B196*1.03</f>
        <v>7649.0889999999999</v>
      </c>
      <c r="C196" s="7"/>
      <c r="D196" s="7"/>
      <c r="E196" s="7"/>
      <c r="F196" s="62">
        <f t="shared" si="236"/>
        <v>7649.0889999999999</v>
      </c>
      <c r="H196" s="7">
        <f>((270*12)+(105*12)+2500)*1.03*1.03*1.03</f>
        <v>7649.0889999999999</v>
      </c>
      <c r="I196" s="7"/>
      <c r="J196" s="7"/>
      <c r="K196" s="7"/>
      <c r="L196" s="62">
        <f t="shared" si="237"/>
        <v>7649.0889999999999</v>
      </c>
      <c r="N196" s="7">
        <f t="shared" si="238"/>
        <v>15298.178</v>
      </c>
      <c r="O196" s="7">
        <f t="shared" si="238"/>
        <v>0</v>
      </c>
      <c r="P196" s="7">
        <f t="shared" si="238"/>
        <v>0</v>
      </c>
      <c r="Q196" s="7">
        <f t="shared" si="238"/>
        <v>0</v>
      </c>
      <c r="R196" s="62">
        <f t="shared" si="239"/>
        <v>15298.178</v>
      </c>
    </row>
    <row r="197" spans="1:18" x14ac:dyDescent="0.35">
      <c r="A197" s="63" t="s">
        <v>142</v>
      </c>
      <c r="B197" s="62">
        <f>'FY25'!B197*1.03</f>
        <v>118706.43073640001</v>
      </c>
      <c r="C197" s="11"/>
      <c r="D197" s="11"/>
      <c r="E197" s="11"/>
      <c r="F197" s="62">
        <f t="shared" si="236"/>
        <v>118706.43073640001</v>
      </c>
      <c r="G197" s="198"/>
      <c r="H197" s="15">
        <f>B197</f>
        <v>118706.43073640001</v>
      </c>
      <c r="I197" s="11"/>
      <c r="J197" s="11"/>
      <c r="K197" s="11"/>
      <c r="L197" s="62">
        <f t="shared" si="237"/>
        <v>118706.43073640001</v>
      </c>
      <c r="N197" s="7">
        <f t="shared" si="238"/>
        <v>237412.86147280002</v>
      </c>
      <c r="O197" s="7">
        <f t="shared" si="238"/>
        <v>0</v>
      </c>
      <c r="P197" s="7">
        <f t="shared" si="238"/>
        <v>0</v>
      </c>
      <c r="Q197" s="7">
        <f t="shared" si="238"/>
        <v>0</v>
      </c>
      <c r="R197" s="62">
        <f t="shared" si="239"/>
        <v>237412.86147280002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6"/>
        <v>31872</v>
      </c>
      <c r="H198" s="7">
        <f>32*H5</f>
        <v>27904</v>
      </c>
      <c r="I198" s="7"/>
      <c r="J198" s="7"/>
      <c r="K198" s="7"/>
      <c r="L198" s="62">
        <f t="shared" si="237"/>
        <v>27904</v>
      </c>
      <c r="N198" s="7">
        <f t="shared" si="238"/>
        <v>59776</v>
      </c>
      <c r="O198" s="7">
        <f t="shared" si="238"/>
        <v>0</v>
      </c>
      <c r="P198" s="7">
        <f t="shared" si="238"/>
        <v>0</v>
      </c>
      <c r="Q198" s="7">
        <f t="shared" si="238"/>
        <v>0</v>
      </c>
      <c r="R198" s="62">
        <f t="shared" si="239"/>
        <v>59776</v>
      </c>
    </row>
    <row r="199" spans="1:18" x14ac:dyDescent="0.35">
      <c r="A199" s="63" t="s">
        <v>145</v>
      </c>
      <c r="B199" s="7">
        <v>46000</v>
      </c>
      <c r="C199" s="7"/>
      <c r="D199" s="7"/>
      <c r="E199" s="7"/>
      <c r="F199" s="62">
        <f t="shared" si="236"/>
        <v>46000</v>
      </c>
      <c r="H199" s="7">
        <f>30000+5000</f>
        <v>35000</v>
      </c>
      <c r="I199" s="7"/>
      <c r="J199" s="7"/>
      <c r="K199" s="7"/>
      <c r="L199" s="62">
        <f t="shared" si="237"/>
        <v>35000</v>
      </c>
      <c r="N199" s="7">
        <f t="shared" si="238"/>
        <v>81000</v>
      </c>
      <c r="O199" s="7">
        <f t="shared" si="238"/>
        <v>0</v>
      </c>
      <c r="P199" s="7">
        <f t="shared" si="238"/>
        <v>0</v>
      </c>
      <c r="Q199" s="7">
        <f t="shared" si="238"/>
        <v>0</v>
      </c>
      <c r="R199" s="62">
        <f t="shared" si="239"/>
        <v>81000</v>
      </c>
    </row>
    <row r="200" spans="1:18" x14ac:dyDescent="0.35">
      <c r="A200" s="63" t="s">
        <v>146</v>
      </c>
      <c r="B200" s="7">
        <f>(1263*12)*1.03*1.03</f>
        <v>16079.000400000001</v>
      </c>
      <c r="C200" s="11"/>
      <c r="D200" s="11"/>
      <c r="E200" s="11"/>
      <c r="F200" s="62">
        <f t="shared" si="236"/>
        <v>16079.000400000001</v>
      </c>
      <c r="H200" s="7">
        <f>(1263*12)*1.03*1.03*1.03</f>
        <v>16561.370412</v>
      </c>
      <c r="I200" s="11"/>
      <c r="J200" s="11"/>
      <c r="K200" s="11"/>
      <c r="L200" s="62">
        <f t="shared" si="237"/>
        <v>16561.370412</v>
      </c>
      <c r="N200" s="7">
        <f t="shared" si="238"/>
        <v>32640.370812000001</v>
      </c>
      <c r="O200" s="7">
        <f t="shared" si="238"/>
        <v>0</v>
      </c>
      <c r="P200" s="7">
        <f t="shared" si="238"/>
        <v>0</v>
      </c>
      <c r="Q200" s="7">
        <f t="shared" si="238"/>
        <v>0</v>
      </c>
      <c r="R200" s="62">
        <f t="shared" si="239"/>
        <v>32640.370812000001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6"/>
        <v>15500</v>
      </c>
      <c r="H201" s="7">
        <v>11000</v>
      </c>
      <c r="I201" s="7"/>
      <c r="J201" s="7"/>
      <c r="K201" s="7"/>
      <c r="L201" s="62">
        <f t="shared" si="237"/>
        <v>11000</v>
      </c>
      <c r="N201" s="7">
        <f t="shared" si="238"/>
        <v>26500</v>
      </c>
      <c r="O201" s="7">
        <f t="shared" si="238"/>
        <v>0</v>
      </c>
      <c r="P201" s="7">
        <f t="shared" si="238"/>
        <v>0</v>
      </c>
      <c r="Q201" s="7">
        <f t="shared" si="238"/>
        <v>0</v>
      </c>
      <c r="R201" s="62">
        <f t="shared" si="239"/>
        <v>26500</v>
      </c>
    </row>
    <row r="202" spans="1:18" ht="15" thickBot="1" x14ac:dyDescent="0.4">
      <c r="A202" s="63" t="s">
        <v>148</v>
      </c>
      <c r="B202" s="37">
        <f>((3963*2)+1500)*1.03*1.04</f>
        <v>10097.131200000002</v>
      </c>
      <c r="C202" s="86"/>
      <c r="D202" s="86"/>
      <c r="E202" s="86"/>
      <c r="F202" s="62">
        <f t="shared" si="236"/>
        <v>10097.131200000002</v>
      </c>
      <c r="H202" s="37">
        <f>((3963*2)+1500)*1.03*1.03*1.03</f>
        <v>10300.044702000001</v>
      </c>
      <c r="I202" s="86"/>
      <c r="J202" s="86"/>
      <c r="K202" s="86"/>
      <c r="L202" s="62">
        <f t="shared" si="237"/>
        <v>10300.044702000001</v>
      </c>
      <c r="N202" s="7">
        <f t="shared" si="238"/>
        <v>20397.175902000003</v>
      </c>
      <c r="O202" s="7">
        <f t="shared" si="238"/>
        <v>0</v>
      </c>
      <c r="P202" s="7">
        <f t="shared" si="238"/>
        <v>0</v>
      </c>
      <c r="Q202" s="7">
        <f t="shared" si="238"/>
        <v>0</v>
      </c>
      <c r="R202" s="62">
        <f t="shared" si="239"/>
        <v>20397.175902000003</v>
      </c>
    </row>
    <row r="203" spans="1:18" ht="15" thickBot="1" x14ac:dyDescent="0.4">
      <c r="A203" s="95" t="s">
        <v>149</v>
      </c>
      <c r="B203" s="90">
        <f>SUM(B192:B202)</f>
        <v>348401.44393640006</v>
      </c>
      <c r="C203" s="90">
        <f t="shared" ref="C203" si="240">SUM(C192:C202)</f>
        <v>0</v>
      </c>
      <c r="D203" s="90">
        <f>SUM(D192:D202)</f>
        <v>0</v>
      </c>
      <c r="E203" s="90">
        <f t="shared" ref="E203:F203" si="241">SUM(E192:E202)</f>
        <v>0</v>
      </c>
      <c r="F203" s="90">
        <f t="shared" si="241"/>
        <v>348401.44393640006</v>
      </c>
      <c r="H203" s="90">
        <f>SUM(H192:H202)</f>
        <v>299022.24173040001</v>
      </c>
      <c r="I203" s="90">
        <f t="shared" ref="I203" si="242">SUM(I192:I202)</f>
        <v>0</v>
      </c>
      <c r="J203" s="90">
        <f>SUM(J192:J202)</f>
        <v>0</v>
      </c>
      <c r="K203" s="90">
        <f t="shared" ref="K203:L203" si="243">SUM(K192:K202)</f>
        <v>0</v>
      </c>
      <c r="L203" s="90">
        <f t="shared" si="243"/>
        <v>299022.24173040001</v>
      </c>
      <c r="N203" s="90">
        <f>SUM(N192:N202)</f>
        <v>647423.68566680013</v>
      </c>
      <c r="O203" s="90">
        <f t="shared" ref="O203" si="244">SUM(O192:O202)</f>
        <v>0</v>
      </c>
      <c r="P203" s="90">
        <f>SUM(P192:P202)</f>
        <v>0</v>
      </c>
      <c r="Q203" s="90">
        <f t="shared" ref="Q203:R203" si="245">SUM(Q192:Q202)</f>
        <v>0</v>
      </c>
      <c r="R203" s="90">
        <f t="shared" si="245"/>
        <v>647423.68566680013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5603871.3305260791</v>
      </c>
      <c r="C205" s="104">
        <f t="shared" ref="C205" si="246">C138+C150+C165+C174+C179+C190+C203</f>
        <v>324041.97719304502</v>
      </c>
      <c r="D205" s="104">
        <f>D138+D150+D165+D174+D179+D190+D203</f>
        <v>702986.60268741753</v>
      </c>
      <c r="E205" s="104">
        <f t="shared" ref="E205" si="247">E138+E150+E165+E174+E179+E190+E203</f>
        <v>89104.468210000021</v>
      </c>
      <c r="F205" s="104">
        <f>F138+F150+F165+F174+F179+F190+F203</f>
        <v>6713654.3786165416</v>
      </c>
      <c r="H205" s="104">
        <f>H138+H150+H165+H174+H179+H190+H203</f>
        <v>4627458.7835509991</v>
      </c>
      <c r="I205" s="104">
        <f t="shared" ref="I205" si="248">I138+I150+I165+I174+I179+I190+I203</f>
        <v>381845.97684299998</v>
      </c>
      <c r="J205" s="104">
        <f>J138+J150+J165+J174+J179+J190+J203</f>
        <v>668806.03</v>
      </c>
      <c r="K205" s="104">
        <f t="shared" ref="K205" si="249">K138+K150+K165+K174+K179+K190+K203</f>
        <v>346212.45</v>
      </c>
      <c r="L205" s="104">
        <f>L138+L150+L165+L174+L179+L190+L203</f>
        <v>6018323.240393999</v>
      </c>
      <c r="N205" s="104">
        <f>N138+N150+N165+N174+N179+N190+N203</f>
        <v>10231330.11407708</v>
      </c>
      <c r="O205" s="104">
        <f t="shared" ref="O205" si="250">O138+O150+O165+O174+O179+O190+O203</f>
        <v>705887.954036045</v>
      </c>
      <c r="P205" s="104">
        <f>P138+P150+P165+P174+P179+P190+P203</f>
        <v>1371792.6326874176</v>
      </c>
      <c r="Q205" s="104">
        <f t="shared" ref="Q205" si="251">Q138+Q150+Q165+Q174+Q179+Q190+Q203</f>
        <v>435316.91821000003</v>
      </c>
      <c r="R205" s="104">
        <f>R138+R150+R165+R174+R179+R190+R203</f>
        <v>12744327.61901054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52">SUM(B207:E207)</f>
        <v>0</v>
      </c>
      <c r="H207" s="15">
        <v>1200000</v>
      </c>
      <c r="I207" s="7"/>
      <c r="J207" s="7"/>
      <c r="K207" s="7"/>
      <c r="L207" s="7">
        <f t="shared" ref="L207:L216" si="253">SUM(H207:K207)</f>
        <v>1200000</v>
      </c>
      <c r="N207" s="7">
        <f t="shared" ref="N207:Q217" si="254">B207+H207</f>
        <v>1200000</v>
      </c>
      <c r="O207" s="7">
        <f t="shared" si="254"/>
        <v>0</v>
      </c>
      <c r="P207" s="7">
        <f t="shared" si="254"/>
        <v>0</v>
      </c>
      <c r="Q207" s="7">
        <f t="shared" si="254"/>
        <v>0</v>
      </c>
      <c r="R207" s="7">
        <f t="shared" ref="R207:R216" si="255">SUM(N207:Q207)</f>
        <v>1200000</v>
      </c>
    </row>
    <row r="208" spans="1:18" x14ac:dyDescent="0.35">
      <c r="A208" s="106" t="s">
        <v>152</v>
      </c>
      <c r="B208" s="7">
        <v>1189906.77</v>
      </c>
      <c r="C208" s="7">
        <v>0</v>
      </c>
      <c r="D208" s="7"/>
      <c r="E208" s="7"/>
      <c r="F208" s="7">
        <f t="shared" si="252"/>
        <v>1189906.77</v>
      </c>
      <c r="H208" s="7">
        <v>0</v>
      </c>
      <c r="I208" s="7">
        <v>0</v>
      </c>
      <c r="J208" s="7"/>
      <c r="K208" s="7"/>
      <c r="L208" s="7">
        <f t="shared" si="253"/>
        <v>0</v>
      </c>
      <c r="N208" s="7">
        <f t="shared" si="254"/>
        <v>1189906.77</v>
      </c>
      <c r="O208" s="7">
        <f t="shared" si="254"/>
        <v>0</v>
      </c>
      <c r="P208" s="7">
        <f t="shared" si="254"/>
        <v>0</v>
      </c>
      <c r="Q208" s="7">
        <f t="shared" si="254"/>
        <v>0</v>
      </c>
      <c r="R208" s="7">
        <f t="shared" si="255"/>
        <v>1189906.77</v>
      </c>
    </row>
    <row r="209" spans="1:18" hidden="1" x14ac:dyDescent="0.35">
      <c r="A209" s="106"/>
      <c r="B209" s="7"/>
      <c r="C209" s="7"/>
      <c r="D209" s="7"/>
      <c r="E209" s="7"/>
      <c r="F209" s="7">
        <f t="shared" si="252"/>
        <v>0</v>
      </c>
      <c r="H209" s="7"/>
      <c r="I209" s="7"/>
      <c r="J209" s="7"/>
      <c r="K209" s="7"/>
      <c r="L209" s="7">
        <f t="shared" si="253"/>
        <v>0</v>
      </c>
      <c r="N209" s="7">
        <f t="shared" si="254"/>
        <v>0</v>
      </c>
      <c r="O209" s="7">
        <f t="shared" si="254"/>
        <v>0</v>
      </c>
      <c r="P209" s="7">
        <f t="shared" si="254"/>
        <v>0</v>
      </c>
      <c r="Q209" s="7">
        <f t="shared" si="254"/>
        <v>0</v>
      </c>
      <c r="R209" s="7">
        <f t="shared" si="255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52"/>
        <v>0</v>
      </c>
      <c r="H210" s="7"/>
      <c r="I210" s="7"/>
      <c r="J210" s="7"/>
      <c r="K210" s="7"/>
      <c r="L210" s="7">
        <f t="shared" si="253"/>
        <v>0</v>
      </c>
      <c r="N210" s="7">
        <f t="shared" si="254"/>
        <v>0</v>
      </c>
      <c r="O210" s="7">
        <f t="shared" si="254"/>
        <v>0</v>
      </c>
      <c r="P210" s="7">
        <f t="shared" si="254"/>
        <v>0</v>
      </c>
      <c r="Q210" s="7">
        <f t="shared" si="254"/>
        <v>0</v>
      </c>
      <c r="R210" s="7">
        <f t="shared" si="255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52"/>
        <v>0</v>
      </c>
      <c r="H211" s="7"/>
      <c r="I211" s="7"/>
      <c r="J211" s="7"/>
      <c r="K211" s="7"/>
      <c r="L211" s="7">
        <f t="shared" si="253"/>
        <v>0</v>
      </c>
      <c r="N211" s="7">
        <f t="shared" si="254"/>
        <v>0</v>
      </c>
      <c r="O211" s="7">
        <f t="shared" si="254"/>
        <v>0</v>
      </c>
      <c r="P211" s="7">
        <f t="shared" si="254"/>
        <v>0</v>
      </c>
      <c r="Q211" s="7">
        <f t="shared" si="254"/>
        <v>0</v>
      </c>
      <c r="R211" s="7">
        <f t="shared" si="255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52"/>
        <v>0</v>
      </c>
      <c r="H212" s="7"/>
      <c r="I212" s="7"/>
      <c r="J212" s="7"/>
      <c r="K212" s="7"/>
      <c r="L212" s="7">
        <f t="shared" si="253"/>
        <v>0</v>
      </c>
      <c r="N212" s="7">
        <f t="shared" si="254"/>
        <v>0</v>
      </c>
      <c r="O212" s="7">
        <f t="shared" si="254"/>
        <v>0</v>
      </c>
      <c r="P212" s="7">
        <f t="shared" si="254"/>
        <v>0</v>
      </c>
      <c r="Q212" s="7">
        <f t="shared" si="254"/>
        <v>0</v>
      </c>
      <c r="R212" s="7">
        <f t="shared" si="255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52"/>
        <v>0</v>
      </c>
      <c r="H213" s="7"/>
      <c r="I213" s="7"/>
      <c r="J213" s="7"/>
      <c r="K213" s="7"/>
      <c r="L213" s="7">
        <f t="shared" si="253"/>
        <v>0</v>
      </c>
      <c r="N213" s="7">
        <f t="shared" si="254"/>
        <v>0</v>
      </c>
      <c r="O213" s="7">
        <f t="shared" si="254"/>
        <v>0</v>
      </c>
      <c r="P213" s="7">
        <f t="shared" si="254"/>
        <v>0</v>
      </c>
      <c r="Q213" s="7">
        <f t="shared" si="254"/>
        <v>0</v>
      </c>
      <c r="R213" s="7">
        <f t="shared" si="255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52"/>
        <v>0</v>
      </c>
      <c r="H214" s="7"/>
      <c r="I214" s="7"/>
      <c r="J214" s="7"/>
      <c r="K214" s="7"/>
      <c r="L214" s="7">
        <f t="shared" si="253"/>
        <v>0</v>
      </c>
      <c r="N214" s="7">
        <f t="shared" si="254"/>
        <v>0</v>
      </c>
      <c r="O214" s="7">
        <f t="shared" si="254"/>
        <v>0</v>
      </c>
      <c r="P214" s="7">
        <f t="shared" si="254"/>
        <v>0</v>
      </c>
      <c r="Q214" s="7">
        <f t="shared" si="254"/>
        <v>0</v>
      </c>
      <c r="R214" s="7">
        <f t="shared" si="255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52"/>
        <v>0</v>
      </c>
      <c r="H215" s="7">
        <v>0</v>
      </c>
      <c r="I215" s="7">
        <v>0</v>
      </c>
      <c r="J215" s="7"/>
      <c r="K215" s="7"/>
      <c r="L215" s="7">
        <f t="shared" si="253"/>
        <v>0</v>
      </c>
      <c r="N215" s="7">
        <f t="shared" si="254"/>
        <v>0</v>
      </c>
      <c r="O215" s="7">
        <f t="shared" si="254"/>
        <v>0</v>
      </c>
      <c r="P215" s="7">
        <f t="shared" si="254"/>
        <v>0</v>
      </c>
      <c r="Q215" s="7">
        <f t="shared" si="254"/>
        <v>0</v>
      </c>
      <c r="R215" s="7">
        <f t="shared" si="255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52"/>
        <v>0</v>
      </c>
      <c r="H216" s="7"/>
      <c r="I216" s="7"/>
      <c r="J216" s="7"/>
      <c r="K216" s="7"/>
      <c r="L216" s="7">
        <f t="shared" si="253"/>
        <v>0</v>
      </c>
      <c r="N216" s="7">
        <f t="shared" si="254"/>
        <v>0</v>
      </c>
      <c r="O216" s="7">
        <f t="shared" si="254"/>
        <v>0</v>
      </c>
      <c r="P216" s="7">
        <f t="shared" si="254"/>
        <v>0</v>
      </c>
      <c r="Q216" s="7">
        <f t="shared" si="254"/>
        <v>0</v>
      </c>
      <c r="R216" s="7">
        <f t="shared" si="255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4"/>
        <v>0</v>
      </c>
      <c r="O217" s="7">
        <f t="shared" si="254"/>
        <v>0</v>
      </c>
      <c r="P217" s="7">
        <f t="shared" si="254"/>
        <v>0</v>
      </c>
      <c r="Q217" s="7">
        <f t="shared" si="254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580605.89947392093</v>
      </c>
      <c r="C218" s="149">
        <f t="shared" ref="C218" si="256">C87-C205-C207-C208-C214-C215</f>
        <v>-258326.97719304502</v>
      </c>
      <c r="D218" s="149">
        <f>D87-D205-D207-D208-D214-D215</f>
        <v>-256262.60268741753</v>
      </c>
      <c r="E218" s="149">
        <f t="shared" ref="E218:F218" si="257">E87-E205-E207-E208-E214-E215</f>
        <v>-26356.468210000014</v>
      </c>
      <c r="F218" s="149">
        <f t="shared" si="257"/>
        <v>46009.851383458357</v>
      </c>
      <c r="H218" s="149">
        <f>H87-H205-H207-H208-H214-H215</f>
        <v>628829.21644900087</v>
      </c>
      <c r="I218" s="149">
        <f t="shared" ref="I218" si="258">I87-I205-I207-I208-I214-I215</f>
        <v>-54043.936842999945</v>
      </c>
      <c r="J218" s="149">
        <f>J87-J205-J207-J208-J214-J215</f>
        <v>-245939.53000000003</v>
      </c>
      <c r="K218" s="149">
        <f t="shared" ref="K218:L218" si="259">K87-K205-K207-K208-K214-K215</f>
        <v>-39748.050000000047</v>
      </c>
      <c r="L218" s="149">
        <f t="shared" si="259"/>
        <v>295097.69960600138</v>
      </c>
      <c r="N218" s="149">
        <f>N87-N205-N207-N208-N214-N215</f>
        <v>1209435.1159229199</v>
      </c>
      <c r="O218" s="149">
        <f t="shared" ref="O218" si="260">O87-O205-O207-O208-O214-O215</f>
        <v>-312370.91403604497</v>
      </c>
      <c r="P218" s="149">
        <f>P87-P205-P207-P208-P214-P215</f>
        <v>-502202.13268741756</v>
      </c>
      <c r="Q218" s="149">
        <f t="shared" ref="Q218:R218" si="261">Q87-Q205-Q207-Q208-Q214-Q215</f>
        <v>-66104.518210000067</v>
      </c>
      <c r="R218" s="149">
        <f t="shared" si="261"/>
        <v>328757.55098945973</v>
      </c>
    </row>
    <row r="219" spans="1:18" ht="15" thickBot="1" x14ac:dyDescent="0.4">
      <c r="A219" s="108"/>
      <c r="B219" s="110">
        <f>B218/(B87-B77)</f>
        <v>7.8732799847949467E-2</v>
      </c>
      <c r="C219" s="110">
        <f t="shared" ref="C219" si="262">C218/(C87-C77)</f>
        <v>-3.9310199679379902</v>
      </c>
      <c r="D219" s="110">
        <f>D218/(D87-D77)</f>
        <v>-0.57364861231413022</v>
      </c>
      <c r="E219" s="110">
        <f>E218/(E87)</f>
        <v>-0.42003678539555062</v>
      </c>
      <c r="F219" s="110">
        <f t="shared" ref="F219" si="263">F218/(F87-F77)</f>
        <v>5.8337623886650378E-3</v>
      </c>
      <c r="H219" s="110">
        <f>H218/(H87-H77)</f>
        <v>9.7397950099035374E-2</v>
      </c>
      <c r="I219" s="110">
        <f t="shared" ref="I219" si="264">I218/(I87-I77)</f>
        <v>-0.16486760376170917</v>
      </c>
      <c r="J219" s="110">
        <f>J218/(J87-J77)</f>
        <v>-0.58160088349396333</v>
      </c>
      <c r="K219" s="110">
        <f>K218/(K87)</f>
        <v>-0.12969875130684039</v>
      </c>
      <c r="L219" s="110">
        <f t="shared" ref="L219" si="265">L218/(L87-L77)</f>
        <v>4.0946229933280738E-2</v>
      </c>
      <c r="N219" s="110">
        <f>N218/(N87-N77)</f>
        <v>8.7445867845244246E-2</v>
      </c>
      <c r="O219" s="110">
        <f t="shared" ref="O219" si="266">O218/(O87-O77)</f>
        <v>-0.79379259926341417</v>
      </c>
      <c r="P219" s="110">
        <f>P218/(P87-P77)</f>
        <v>-0.57751566132267729</v>
      </c>
      <c r="Q219" s="110">
        <f>Q218/(Q87)</f>
        <v>-0.17904197749046369</v>
      </c>
      <c r="R219" s="110">
        <f t="shared" ref="R219" si="267">R218/(R87-R77)</f>
        <v>2.1780995947252305E-2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25</v>
      </c>
      <c r="B221" s="174" t="str">
        <f>B1</f>
        <v>Operating</v>
      </c>
      <c r="C221" s="174" t="str">
        <f t="shared" ref="C221" si="268">C1</f>
        <v>Weights</v>
      </c>
      <c r="D221" s="174" t="str">
        <f>D1</f>
        <v>SPED</v>
      </c>
      <c r="E221" s="174" t="str">
        <f t="shared" ref="E221:F221" si="269">E1</f>
        <v>NSLP</v>
      </c>
      <c r="F221" s="174" t="str">
        <f t="shared" si="269"/>
        <v>Mt. Rose</v>
      </c>
      <c r="H221" s="174" t="str">
        <f>H1</f>
        <v>Operating</v>
      </c>
      <c r="I221" s="174" t="str">
        <f t="shared" ref="I221" si="270">I1</f>
        <v>Weights</v>
      </c>
      <c r="J221" s="174" t="str">
        <f>J1</f>
        <v>SPED</v>
      </c>
      <c r="K221" s="174" t="str">
        <f t="shared" ref="K221:L221" si="271">K1</f>
        <v>NSLP</v>
      </c>
      <c r="L221" s="174" t="str">
        <f t="shared" si="271"/>
        <v>New Campus</v>
      </c>
      <c r="N221" s="174" t="str">
        <f>N1</f>
        <v>Operating</v>
      </c>
      <c r="O221" s="174" t="str">
        <f t="shared" ref="O221" si="272">O1</f>
        <v>Weights</v>
      </c>
      <c r="P221" s="174" t="str">
        <f>P1</f>
        <v>SPED</v>
      </c>
      <c r="Q221" s="174" t="str">
        <f t="shared" ref="Q221:R221" si="273">Q1</f>
        <v>NSLP</v>
      </c>
      <c r="R221" s="174" t="str">
        <f t="shared" si="273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3"/>
  <sheetViews>
    <sheetView topLeftCell="A164" zoomScale="75" zoomScaleNormal="75" workbookViewId="0">
      <selection activeCell="E77" sqref="E77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258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7500</v>
      </c>
      <c r="C2" s="7">
        <v>0</v>
      </c>
      <c r="D2" s="7">
        <v>0</v>
      </c>
      <c r="E2" s="7">
        <v>0</v>
      </c>
      <c r="F2" s="7">
        <f>SUM(B2:E2)</f>
        <v>7500</v>
      </c>
      <c r="H2" s="7">
        <v>7500</v>
      </c>
      <c r="I2" s="7">
        <v>0</v>
      </c>
      <c r="J2" s="7">
        <v>0</v>
      </c>
      <c r="K2" s="7">
        <v>0</v>
      </c>
      <c r="L2" s="7">
        <f>SUM(H2:K2)</f>
        <v>7500</v>
      </c>
      <c r="N2" s="7">
        <f>H2</f>
        <v>7500</v>
      </c>
      <c r="O2" s="7">
        <v>0</v>
      </c>
      <c r="P2" s="7">
        <v>0</v>
      </c>
      <c r="Q2" s="7">
        <v>0</v>
      </c>
      <c r="R2" s="7">
        <f>SUM(N2:Q2)</f>
        <v>7500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996</v>
      </c>
      <c r="I5" s="9"/>
      <c r="J5" s="9"/>
      <c r="K5" s="9"/>
      <c r="L5" s="9">
        <f t="shared" ref="L5:L19" si="1">SUM(H5:K5)</f>
        <v>996</v>
      </c>
      <c r="N5" s="9">
        <f>N6+N7+N8+N9+N10+N11+N12+N13+N14+N15+N16+N17+N18</f>
        <v>1992</v>
      </c>
      <c r="O5" s="9"/>
      <c r="P5" s="9"/>
      <c r="Q5" s="9"/>
      <c r="R5" s="9">
        <f t="shared" ref="R5:R19" si="2">SUM(N5:Q5)</f>
        <v>1992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27*4</f>
        <v>108</v>
      </c>
      <c r="I11" s="11"/>
      <c r="J11" s="11"/>
      <c r="K11" s="11"/>
      <c r="L11" s="9">
        <f t="shared" si="1"/>
        <v>108</v>
      </c>
      <c r="M11" s="187">
        <v>4</v>
      </c>
      <c r="N11" s="7">
        <f t="shared" si="3"/>
        <v>216</v>
      </c>
      <c r="O11" s="11"/>
      <c r="P11" s="11"/>
      <c r="Q11" s="11"/>
      <c r="R11" s="9">
        <f t="shared" si="2"/>
        <v>216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f>31*4</f>
        <v>124</v>
      </c>
      <c r="I13" s="7"/>
      <c r="J13" s="7"/>
      <c r="K13" s="7"/>
      <c r="L13" s="9">
        <f t="shared" si="1"/>
        <v>124</v>
      </c>
      <c r="M13" s="187">
        <v>4</v>
      </c>
      <c r="N13" s="7">
        <f t="shared" si="3"/>
        <v>248</v>
      </c>
      <c r="O13" s="7"/>
      <c r="P13" s="7"/>
      <c r="Q13" s="7"/>
      <c r="R13" s="9">
        <f t="shared" si="2"/>
        <v>248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f>31*4</f>
        <v>124</v>
      </c>
      <c r="I14" s="7"/>
      <c r="J14" s="7"/>
      <c r="K14" s="7"/>
      <c r="L14" s="9">
        <f t="shared" si="1"/>
        <v>124</v>
      </c>
      <c r="M14" s="187">
        <v>4</v>
      </c>
      <c r="N14" s="7">
        <f t="shared" si="3"/>
        <v>248</v>
      </c>
      <c r="O14" s="7"/>
      <c r="P14" s="7"/>
      <c r="Q14" s="7"/>
      <c r="R14" s="9">
        <f t="shared" si="2"/>
        <v>248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996</v>
      </c>
      <c r="I19" s="9"/>
      <c r="J19" s="9"/>
      <c r="K19" s="9"/>
      <c r="L19" s="9">
        <f t="shared" si="1"/>
        <v>996</v>
      </c>
      <c r="M19" s="188">
        <f>L19*0.11</f>
        <v>109.56</v>
      </c>
      <c r="N19" s="9">
        <f>SUM(N6:N18)</f>
        <v>1992</v>
      </c>
      <c r="O19" s="9"/>
      <c r="P19" s="9"/>
      <c r="Q19" s="9"/>
      <c r="R19" s="9">
        <f t="shared" si="2"/>
        <v>1992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872*0.17</f>
        <v>148.24</v>
      </c>
      <c r="K22" s="7"/>
      <c r="L22" s="7">
        <f t="shared" ref="L22:L27" si="5">SUM(H22:K22)</f>
        <v>148.24</v>
      </c>
      <c r="N22" s="190">
        <f>B22+H22</f>
        <v>0</v>
      </c>
      <c r="O22" s="190">
        <f t="shared" ref="O22:Q24" si="6">C22+I22</f>
        <v>0</v>
      </c>
      <c r="P22" s="190">
        <f t="shared" si="6"/>
        <v>256.24</v>
      </c>
      <c r="Q22" s="190">
        <f t="shared" si="6"/>
        <v>0</v>
      </c>
      <c r="R22" s="7">
        <f t="shared" ref="R22:R27" si="7">SUM(N22:Q22)</f>
        <v>256.24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872*0.2</f>
        <v>174.4</v>
      </c>
      <c r="J23" s="7"/>
      <c r="K23" s="7"/>
      <c r="L23" s="7">
        <f t="shared" si="5"/>
        <v>174.4</v>
      </c>
      <c r="N23" s="190">
        <f t="shared" ref="N23:N24" si="8">B23+H23</f>
        <v>0</v>
      </c>
      <c r="O23" s="7">
        <f t="shared" si="6"/>
        <v>177.4</v>
      </c>
      <c r="P23" s="190">
        <f t="shared" si="6"/>
        <v>0</v>
      </c>
      <c r="Q23" s="190">
        <f t="shared" si="6"/>
        <v>0</v>
      </c>
      <c r="R23" s="7">
        <f t="shared" si="7"/>
        <v>177.4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33</v>
      </c>
      <c r="J24" s="7"/>
      <c r="K24" s="7"/>
      <c r="L24" s="7">
        <f t="shared" si="5"/>
        <v>33</v>
      </c>
      <c r="N24" s="190">
        <f t="shared" si="8"/>
        <v>0</v>
      </c>
      <c r="O24" s="7">
        <f t="shared" si="6"/>
        <v>86</v>
      </c>
      <c r="P24" s="190">
        <f t="shared" si="6"/>
        <v>0</v>
      </c>
      <c r="Q24" s="190">
        <f t="shared" si="6"/>
        <v>0</v>
      </c>
      <c r="R24" s="7">
        <f t="shared" si="7"/>
        <v>86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0.32500000000000007</v>
      </c>
      <c r="R25" s="19">
        <f t="shared" si="7"/>
        <v>0.32500000000000007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(872*0.6)-I23-(J22*0.5)</f>
        <v>274.67999999999995</v>
      </c>
      <c r="J26" s="7"/>
      <c r="K26" s="7"/>
      <c r="L26" s="7">
        <f t="shared" si="5"/>
        <v>274.67999999999995</v>
      </c>
      <c r="N26" s="190">
        <f>B26+H26</f>
        <v>0</v>
      </c>
      <c r="O26" s="190">
        <f t="shared" ref="O26:Q26" si="9">C26+I26</f>
        <v>329.67999999999995</v>
      </c>
      <c r="P26" s="190">
        <f t="shared" si="9"/>
        <v>0</v>
      </c>
      <c r="Q26" s="190">
        <f t="shared" si="9"/>
        <v>0</v>
      </c>
      <c r="R26" s="7">
        <f t="shared" si="7"/>
        <v>329.67999999999995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36</v>
      </c>
      <c r="I29" s="23"/>
      <c r="J29" s="23"/>
      <c r="K29" s="23"/>
      <c r="L29" s="23">
        <f t="shared" ref="L29:L38" si="11">SUM(H29:K29)</f>
        <v>36</v>
      </c>
      <c r="M29" s="188">
        <f>L29/6</f>
        <v>6</v>
      </c>
      <c r="N29" s="190">
        <f>B29+H29</f>
        <v>72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72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6</v>
      </c>
      <c r="K30" s="26"/>
      <c r="L30" s="23">
        <f t="shared" si="11"/>
        <v>6</v>
      </c>
      <c r="M30" s="188">
        <f>J22/23</f>
        <v>6.4452173913043485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9.5</v>
      </c>
      <c r="Q30" s="190">
        <f t="shared" si="12"/>
        <v>0</v>
      </c>
      <c r="R30" s="23">
        <f t="shared" si="13"/>
        <v>9.5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2</v>
      </c>
      <c r="I31" s="23"/>
      <c r="J31" s="23"/>
      <c r="K31" s="23"/>
      <c r="L31" s="23">
        <f t="shared" si="11"/>
        <v>2</v>
      </c>
      <c r="N31" s="190">
        <f t="shared" si="14"/>
        <v>4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4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41</v>
      </c>
      <c r="I39" s="30">
        <f t="shared" ref="I39:L39" si="16">SUM(I29:I38)</f>
        <v>0</v>
      </c>
      <c r="J39" s="30">
        <f t="shared" si="16"/>
        <v>6</v>
      </c>
      <c r="K39" s="30">
        <f t="shared" si="16"/>
        <v>0</v>
      </c>
      <c r="L39" s="30">
        <f t="shared" si="16"/>
        <v>47</v>
      </c>
      <c r="N39" s="30">
        <f>SUM(N29:N38)</f>
        <v>83</v>
      </c>
      <c r="O39" s="30">
        <f t="shared" ref="O39:R39" si="17">SUM(O29:O38)</f>
        <v>0</v>
      </c>
      <c r="P39" s="30">
        <f t="shared" si="17"/>
        <v>9.5</v>
      </c>
      <c r="Q39" s="30">
        <f t="shared" si="17"/>
        <v>0</v>
      </c>
      <c r="R39" s="30">
        <f t="shared" si="17"/>
        <v>92.5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2</v>
      </c>
      <c r="I43" s="23"/>
      <c r="J43" s="23"/>
      <c r="K43" s="23"/>
      <c r="L43" s="23">
        <f t="shared" si="19"/>
        <v>2</v>
      </c>
      <c r="N43" s="190">
        <f t="shared" ref="N43:Q62" si="22">B43+H43</f>
        <v>4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4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1</v>
      </c>
      <c r="J46" s="23"/>
      <c r="K46" s="23"/>
      <c r="L46" s="23">
        <f t="shared" si="19"/>
        <v>1</v>
      </c>
      <c r="N46" s="190">
        <f t="shared" si="22"/>
        <v>1</v>
      </c>
      <c r="O46" s="190">
        <f t="shared" si="20"/>
        <v>1</v>
      </c>
      <c r="P46" s="190">
        <f t="shared" si="20"/>
        <v>0</v>
      </c>
      <c r="Q46" s="190">
        <f t="shared" si="20"/>
        <v>0</v>
      </c>
      <c r="R46" s="23">
        <f t="shared" si="21"/>
        <v>2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>
        <v>0</v>
      </c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5</v>
      </c>
      <c r="J52" s="158">
        <v>4</v>
      </c>
      <c r="K52" s="158"/>
      <c r="L52" s="23">
        <f t="shared" si="19"/>
        <v>9</v>
      </c>
      <c r="N52" s="190">
        <f t="shared" si="22"/>
        <v>0</v>
      </c>
      <c r="O52" s="190">
        <f t="shared" si="20"/>
        <v>9</v>
      </c>
      <c r="P52" s="190">
        <f t="shared" si="20"/>
        <v>7</v>
      </c>
      <c r="Q52" s="190">
        <f t="shared" si="20"/>
        <v>0</v>
      </c>
      <c r="R52" s="23">
        <f t="shared" si="21"/>
        <v>16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1</v>
      </c>
      <c r="J61" s="157"/>
      <c r="K61" s="157"/>
      <c r="L61" s="23">
        <f t="shared" si="19"/>
        <v>1</v>
      </c>
      <c r="N61" s="190">
        <f t="shared" si="22"/>
        <v>0</v>
      </c>
      <c r="O61" s="190">
        <f t="shared" si="22"/>
        <v>2</v>
      </c>
      <c r="P61" s="190">
        <f t="shared" si="22"/>
        <v>0</v>
      </c>
      <c r="Q61" s="190">
        <f t="shared" si="22"/>
        <v>0</v>
      </c>
      <c r="R61" s="23">
        <f t="shared" si="21"/>
        <v>2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9</v>
      </c>
      <c r="I63" s="30">
        <f t="shared" ref="I63:L63" si="24">SUM(I42:I61)</f>
        <v>8</v>
      </c>
      <c r="J63" s="30">
        <f t="shared" si="24"/>
        <v>4</v>
      </c>
      <c r="K63" s="30">
        <f t="shared" si="24"/>
        <v>1</v>
      </c>
      <c r="L63" s="30">
        <f t="shared" si="24"/>
        <v>22</v>
      </c>
      <c r="N63" s="30">
        <f>SUM(N42:N61)</f>
        <v>21</v>
      </c>
      <c r="O63" s="30">
        <f t="shared" ref="O63:R63" si="25">SUM(O42:O61)</f>
        <v>13</v>
      </c>
      <c r="P63" s="30">
        <f t="shared" si="25"/>
        <v>8</v>
      </c>
      <c r="Q63" s="30">
        <f t="shared" si="25"/>
        <v>2</v>
      </c>
      <c r="R63" s="30">
        <f t="shared" si="25"/>
        <v>44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41</v>
      </c>
      <c r="I65" s="39">
        <f>I61</f>
        <v>1</v>
      </c>
      <c r="J65" s="39">
        <f>J39</f>
        <v>6</v>
      </c>
      <c r="K65" s="39">
        <f t="shared" ref="K65" si="27">K39</f>
        <v>0</v>
      </c>
      <c r="L65" s="39">
        <f>L39</f>
        <v>47</v>
      </c>
      <c r="N65" s="39">
        <f>N39</f>
        <v>83</v>
      </c>
      <c r="O65" s="39">
        <f>O61</f>
        <v>2</v>
      </c>
      <c r="P65" s="39">
        <f>P39</f>
        <v>9.5</v>
      </c>
      <c r="Q65" s="39">
        <f t="shared" ref="Q65" si="28">Q39</f>
        <v>0</v>
      </c>
      <c r="R65" s="39">
        <f>R39</f>
        <v>92.5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9</v>
      </c>
      <c r="I66" s="42">
        <f>I63</f>
        <v>8</v>
      </c>
      <c r="J66" s="42">
        <f>J63</f>
        <v>4</v>
      </c>
      <c r="K66" s="42">
        <f t="shared" ref="K66:L66" si="30">K63</f>
        <v>1</v>
      </c>
      <c r="L66" s="42">
        <f t="shared" si="30"/>
        <v>22</v>
      </c>
      <c r="N66" s="42">
        <f>N63</f>
        <v>21</v>
      </c>
      <c r="O66" s="42">
        <f>O63</f>
        <v>13</v>
      </c>
      <c r="P66" s="42">
        <f>P63</f>
        <v>8</v>
      </c>
      <c r="Q66" s="42">
        <f t="shared" ref="Q66:R66" si="31">Q63</f>
        <v>2</v>
      </c>
      <c r="R66" s="42">
        <f t="shared" si="31"/>
        <v>44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50</v>
      </c>
      <c r="I67" s="44">
        <f t="shared" ref="I67" si="34">SUM(I65:I66)</f>
        <v>9</v>
      </c>
      <c r="J67" s="44">
        <f>SUM(J65:J66)</f>
        <v>10</v>
      </c>
      <c r="K67" s="44">
        <f t="shared" ref="K67:L67" si="35">SUM(K65:K66)</f>
        <v>1</v>
      </c>
      <c r="L67" s="44">
        <f t="shared" si="35"/>
        <v>69</v>
      </c>
      <c r="N67" s="44">
        <f>SUM(N65:N66)</f>
        <v>104</v>
      </c>
      <c r="O67" s="44">
        <f t="shared" ref="O67" si="36">SUM(O65:O66)</f>
        <v>15</v>
      </c>
      <c r="P67" s="44">
        <f>SUM(P65:P66)</f>
        <v>17.5</v>
      </c>
      <c r="Q67" s="44">
        <f t="shared" ref="Q67:R67" si="37">SUM(Q65:Q66)</f>
        <v>2</v>
      </c>
      <c r="R67" s="44">
        <f t="shared" si="37"/>
        <v>136.5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0.61839276647420638</v>
      </c>
      <c r="H69" s="47"/>
      <c r="I69" s="47"/>
      <c r="J69" s="47"/>
      <c r="K69" s="47"/>
      <c r="L69" s="47">
        <f t="shared" ref="L69" si="39">L138/(SUM(L205:L215))</f>
        <v>0.5573218255706186</v>
      </c>
      <c r="N69" s="47"/>
      <c r="O69" s="47"/>
      <c r="P69" s="47"/>
      <c r="Q69" s="47"/>
      <c r="R69" s="47">
        <f t="shared" ref="R69" si="40">R138/(SUM(R205:R215))</f>
        <v>0.58760142195666898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0.73860556855052106</v>
      </c>
      <c r="H70" s="49"/>
      <c r="I70" s="49"/>
      <c r="J70" s="49"/>
      <c r="K70" s="49"/>
      <c r="L70" s="49">
        <f t="shared" ref="L70" si="42">(L109+L110+L111+L114)/L130</f>
        <v>0.7788948791762984</v>
      </c>
      <c r="N70" s="49"/>
      <c r="O70" s="49"/>
      <c r="P70" s="49"/>
      <c r="Q70" s="49"/>
      <c r="R70" s="49">
        <f t="shared" ref="R70" si="43">(R109+R110+R111+R114)/R130</f>
        <v>0.75803267921803474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0.26139443144947888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0.22110512082370165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0.24196732078196523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0.14861083848954487</v>
      </c>
      <c r="H72" s="53"/>
      <c r="I72" s="53"/>
      <c r="J72" s="53"/>
      <c r="K72" s="53"/>
      <c r="L72" s="53">
        <f t="shared" ref="L72" si="48">SUM(L207:L215)/L87</f>
        <v>0.16374747815715135</v>
      </c>
      <c r="N72" s="53"/>
      <c r="O72" s="53"/>
      <c r="P72" s="53"/>
      <c r="Q72" s="53"/>
      <c r="R72" s="53">
        <f t="shared" ref="R72" si="49">SUM(R207:R215)/R87</f>
        <v>0.15648645815131673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7470000</v>
      </c>
      <c r="C75" s="7">
        <f t="shared" ref="C75" si="56">(C2*C5)*0.95</f>
        <v>0</v>
      </c>
      <c r="D75" s="7"/>
      <c r="E75" s="7"/>
      <c r="F75" s="7">
        <f t="shared" ref="F75:F86" si="57">SUM(B75:E75)</f>
        <v>7470000</v>
      </c>
      <c r="H75" s="7">
        <f>(H2*H5)</f>
        <v>7470000</v>
      </c>
      <c r="I75" s="7">
        <f t="shared" ref="I75" si="58">(I2*I5)*0.95</f>
        <v>0</v>
      </c>
      <c r="J75" s="7"/>
      <c r="K75" s="7"/>
      <c r="L75" s="7">
        <f t="shared" ref="L75:L86" si="59">SUM(H75:K75)</f>
        <v>7470000</v>
      </c>
      <c r="N75" s="7">
        <f>B75+H75</f>
        <v>14940000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14940000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(H19*K25)*3.45*180</f>
        <v>340183.80000000005</v>
      </c>
      <c r="L77" s="7">
        <f t="shared" si="59"/>
        <v>340183.80000000005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402931.80000000005</v>
      </c>
      <c r="R77" s="7">
        <f t="shared" si="61"/>
        <v>402931.80000000005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140828</v>
      </c>
      <c r="K78" s="7"/>
      <c r="L78" s="7">
        <f t="shared" si="59"/>
        <v>140828</v>
      </c>
      <c r="N78" s="7">
        <f t="shared" si="64"/>
        <v>0</v>
      </c>
      <c r="O78" s="7">
        <f t="shared" si="60"/>
        <v>0</v>
      </c>
      <c r="P78" s="7">
        <f t="shared" si="60"/>
        <v>243428</v>
      </c>
      <c r="Q78" s="7">
        <f t="shared" si="60"/>
        <v>0</v>
      </c>
      <c r="R78" s="7">
        <f t="shared" si="61"/>
        <v>243428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2550*D22</f>
        <v>275400</v>
      </c>
      <c r="E79" s="37"/>
      <c r="F79" s="7">
        <f t="shared" si="57"/>
        <v>275400</v>
      </c>
      <c r="H79" s="37">
        <f>3200*H22</f>
        <v>0</v>
      </c>
      <c r="I79" s="37">
        <f t="shared" ref="I79" si="70">3200*I22</f>
        <v>0</v>
      </c>
      <c r="J79" s="37">
        <f>2550*J22</f>
        <v>378012</v>
      </c>
      <c r="K79" s="37"/>
      <c r="L79" s="7">
        <f t="shared" si="59"/>
        <v>378012</v>
      </c>
      <c r="N79" s="7">
        <f t="shared" si="64"/>
        <v>0</v>
      </c>
      <c r="O79" s="7">
        <f t="shared" si="60"/>
        <v>0</v>
      </c>
      <c r="P79" s="7">
        <f t="shared" si="60"/>
        <v>653412</v>
      </c>
      <c r="Q79" s="7">
        <f t="shared" si="60"/>
        <v>0</v>
      </c>
      <c r="R79" s="7">
        <f t="shared" si="61"/>
        <v>653412</v>
      </c>
    </row>
    <row r="80" spans="1:18" x14ac:dyDescent="0.35">
      <c r="A80" s="63" t="s">
        <v>213</v>
      </c>
      <c r="B80" s="37">
        <f>1400*B23</f>
        <v>0</v>
      </c>
      <c r="C80" s="37">
        <f>1740*C23</f>
        <v>5220</v>
      </c>
      <c r="D80" s="37"/>
      <c r="E80" s="37"/>
      <c r="F80" s="7">
        <f t="shared" si="57"/>
        <v>5220</v>
      </c>
      <c r="H80" s="37">
        <f>1400*H23</f>
        <v>0</v>
      </c>
      <c r="I80" s="37">
        <f>1740*I23</f>
        <v>303456</v>
      </c>
      <c r="J80" s="37"/>
      <c r="K80" s="37"/>
      <c r="L80" s="7">
        <f t="shared" si="59"/>
        <v>303456</v>
      </c>
      <c r="N80" s="7">
        <f t="shared" si="64"/>
        <v>0</v>
      </c>
      <c r="O80" s="7">
        <f t="shared" si="60"/>
        <v>308676</v>
      </c>
      <c r="P80" s="7">
        <f t="shared" si="60"/>
        <v>0</v>
      </c>
      <c r="Q80" s="7">
        <f t="shared" si="60"/>
        <v>0</v>
      </c>
      <c r="R80" s="7">
        <f t="shared" si="61"/>
        <v>308676</v>
      </c>
    </row>
    <row r="81" spans="1:18" x14ac:dyDescent="0.35">
      <c r="A81" s="63" t="s">
        <v>214</v>
      </c>
      <c r="B81" s="7">
        <f>830*B24</f>
        <v>0</v>
      </c>
      <c r="C81" s="7">
        <f>889*C24</f>
        <v>47117</v>
      </c>
      <c r="D81" s="7"/>
      <c r="E81" s="7"/>
      <c r="F81" s="7">
        <f t="shared" si="57"/>
        <v>47117</v>
      </c>
      <c r="H81" s="7">
        <f>830*H24</f>
        <v>0</v>
      </c>
      <c r="I81" s="7">
        <f>889*I24</f>
        <v>29337</v>
      </c>
      <c r="J81" s="7"/>
      <c r="K81" s="7"/>
      <c r="L81" s="7">
        <f t="shared" si="59"/>
        <v>29337</v>
      </c>
      <c r="N81" s="7">
        <f t="shared" si="64"/>
        <v>0</v>
      </c>
      <c r="O81" s="7">
        <f t="shared" si="60"/>
        <v>76454</v>
      </c>
      <c r="P81" s="7">
        <f t="shared" si="60"/>
        <v>0</v>
      </c>
      <c r="Q81" s="7">
        <f t="shared" si="60"/>
        <v>0</v>
      </c>
      <c r="R81" s="7">
        <f t="shared" si="61"/>
        <v>76454</v>
      </c>
    </row>
    <row r="82" spans="1:18" x14ac:dyDescent="0.35">
      <c r="A82" s="63" t="s">
        <v>215</v>
      </c>
      <c r="B82" s="7">
        <f>240*B26</f>
        <v>0</v>
      </c>
      <c r="C82" s="7">
        <f>259*C26</f>
        <v>14245</v>
      </c>
      <c r="D82" s="7"/>
      <c r="E82" s="7"/>
      <c r="F82" s="7">
        <f t="shared" si="57"/>
        <v>14245</v>
      </c>
      <c r="H82" s="7">
        <f>240*H26</f>
        <v>0</v>
      </c>
      <c r="I82" s="7">
        <f>259*I26</f>
        <v>71142.119999999981</v>
      </c>
      <c r="J82" s="7"/>
      <c r="K82" s="7"/>
      <c r="L82" s="7">
        <f t="shared" si="59"/>
        <v>71142.119999999981</v>
      </c>
      <c r="N82" s="7">
        <f t="shared" si="64"/>
        <v>0</v>
      </c>
      <c r="O82" s="7">
        <f t="shared" si="60"/>
        <v>85387.119999999981</v>
      </c>
      <c r="P82" s="7">
        <f t="shared" si="60"/>
        <v>0</v>
      </c>
      <c r="Q82" s="7">
        <f t="shared" si="60"/>
        <v>0</v>
      </c>
      <c r="R82" s="7">
        <f t="shared" si="61"/>
        <v>85387.119999999981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7470000</v>
      </c>
      <c r="C87" s="69">
        <f t="shared" ref="C87" si="71">SUM(C75:C86)</f>
        <v>66582</v>
      </c>
      <c r="D87" s="69">
        <f>SUM(D75:D86)</f>
        <v>452124</v>
      </c>
      <c r="E87" s="69">
        <f t="shared" ref="E87:F87" si="72">SUM(E75:E86)</f>
        <v>62748.000000000007</v>
      </c>
      <c r="F87" s="69">
        <f t="shared" si="72"/>
        <v>8051454</v>
      </c>
      <c r="G87" s="187">
        <f>F87/B19</f>
        <v>8083.7891566265062</v>
      </c>
      <c r="H87" s="69">
        <f>SUM(H75:H86)</f>
        <v>7470000</v>
      </c>
      <c r="I87" s="69">
        <f t="shared" ref="I87" si="73">SUM(I75:I86)</f>
        <v>403935.12</v>
      </c>
      <c r="J87" s="69">
        <f>SUM(J75:J86)</f>
        <v>518840</v>
      </c>
      <c r="K87" s="69">
        <f t="shared" ref="K87:L87" si="74">SUM(K75:K86)</f>
        <v>340183.80000000005</v>
      </c>
      <c r="L87" s="69">
        <f t="shared" si="74"/>
        <v>8732958.9199999999</v>
      </c>
      <c r="M87" s="187">
        <f>L87/H19</f>
        <v>8768.0310441767069</v>
      </c>
      <c r="N87" s="69">
        <f>SUM(N75:N86)</f>
        <v>14940000</v>
      </c>
      <c r="O87" s="69">
        <f t="shared" ref="O87" si="75">SUM(O75:O86)</f>
        <v>470517.12</v>
      </c>
      <c r="P87" s="69">
        <f>SUM(P75:P86)</f>
        <v>970964</v>
      </c>
      <c r="Q87" s="69">
        <f t="shared" ref="Q87:R87" si="76">SUM(Q75:Q86)</f>
        <v>402931.80000000005</v>
      </c>
      <c r="R87" s="69">
        <f t="shared" si="76"/>
        <v>16784412.920000002</v>
      </c>
    </row>
    <row r="88" spans="1:18" hidden="1" x14ac:dyDescent="0.35">
      <c r="A88" s="61" t="s">
        <v>211</v>
      </c>
      <c r="B88" s="62">
        <f>B2*B5</f>
        <v>7470000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7470000</v>
      </c>
      <c r="H88" s="62">
        <f>H2*H5</f>
        <v>7470000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7470000</v>
      </c>
      <c r="N88" s="62">
        <f>N2*N5</f>
        <v>14940000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14940000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340183.80000000005</v>
      </c>
      <c r="L90" s="62">
        <f t="shared" si="90"/>
        <v>340183.80000000005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402931.80000000005</v>
      </c>
      <c r="R90" s="62">
        <f t="shared" si="91"/>
        <v>402931.80000000005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140828</v>
      </c>
      <c r="K91" s="62">
        <f t="shared" si="90"/>
        <v>0</v>
      </c>
      <c r="L91" s="62">
        <f t="shared" si="90"/>
        <v>140828</v>
      </c>
      <c r="N91" s="62">
        <f t="shared" si="91"/>
        <v>0</v>
      </c>
      <c r="O91" s="62">
        <f t="shared" si="91"/>
        <v>0</v>
      </c>
      <c r="P91" s="62">
        <f t="shared" si="91"/>
        <v>243428</v>
      </c>
      <c r="Q91" s="62">
        <f t="shared" si="91"/>
        <v>0</v>
      </c>
      <c r="R91" s="62">
        <f t="shared" si="91"/>
        <v>243428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275400</v>
      </c>
      <c r="E92" s="62">
        <f t="shared" si="89"/>
        <v>0</v>
      </c>
      <c r="F92" s="62">
        <f t="shared" si="89"/>
        <v>275400</v>
      </c>
      <c r="H92" s="62">
        <f t="shared" si="90"/>
        <v>0</v>
      </c>
      <c r="I92" s="62">
        <f t="shared" si="90"/>
        <v>0</v>
      </c>
      <c r="J92" s="62">
        <f t="shared" si="90"/>
        <v>378012</v>
      </c>
      <c r="K92" s="62">
        <f t="shared" si="90"/>
        <v>0</v>
      </c>
      <c r="L92" s="62">
        <f t="shared" si="90"/>
        <v>378012</v>
      </c>
      <c r="N92" s="62">
        <f t="shared" si="91"/>
        <v>0</v>
      </c>
      <c r="O92" s="62">
        <f t="shared" si="91"/>
        <v>0</v>
      </c>
      <c r="P92" s="62">
        <f t="shared" si="91"/>
        <v>653412</v>
      </c>
      <c r="Q92" s="62">
        <f t="shared" si="91"/>
        <v>0</v>
      </c>
      <c r="R92" s="62">
        <f t="shared" si="91"/>
        <v>653412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5220</v>
      </c>
      <c r="D93" s="62">
        <f t="shared" si="89"/>
        <v>0</v>
      </c>
      <c r="E93" s="62">
        <f t="shared" si="89"/>
        <v>0</v>
      </c>
      <c r="F93" s="62">
        <f t="shared" si="89"/>
        <v>5220</v>
      </c>
      <c r="H93" s="62">
        <f t="shared" si="90"/>
        <v>0</v>
      </c>
      <c r="I93" s="62">
        <f t="shared" si="90"/>
        <v>303456</v>
      </c>
      <c r="J93" s="62">
        <f t="shared" si="90"/>
        <v>0</v>
      </c>
      <c r="K93" s="62">
        <f t="shared" si="90"/>
        <v>0</v>
      </c>
      <c r="L93" s="62">
        <f t="shared" si="90"/>
        <v>303456</v>
      </c>
      <c r="N93" s="62">
        <f t="shared" si="91"/>
        <v>0</v>
      </c>
      <c r="O93" s="62">
        <f t="shared" si="91"/>
        <v>308676</v>
      </c>
      <c r="P93" s="62">
        <f t="shared" si="91"/>
        <v>0</v>
      </c>
      <c r="Q93" s="62">
        <f t="shared" si="91"/>
        <v>0</v>
      </c>
      <c r="R93" s="62">
        <f t="shared" si="91"/>
        <v>308676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47117</v>
      </c>
      <c r="D94" s="62">
        <f t="shared" si="89"/>
        <v>0</v>
      </c>
      <c r="E94" s="62">
        <f t="shared" si="89"/>
        <v>0</v>
      </c>
      <c r="F94" s="62">
        <f t="shared" si="89"/>
        <v>47117</v>
      </c>
      <c r="H94" s="62">
        <f t="shared" si="90"/>
        <v>0</v>
      </c>
      <c r="I94" s="62">
        <f t="shared" si="90"/>
        <v>29337</v>
      </c>
      <c r="J94" s="62">
        <f t="shared" si="90"/>
        <v>0</v>
      </c>
      <c r="K94" s="62">
        <f t="shared" si="90"/>
        <v>0</v>
      </c>
      <c r="L94" s="62">
        <f t="shared" si="90"/>
        <v>29337</v>
      </c>
      <c r="N94" s="62">
        <f t="shared" si="91"/>
        <v>0</v>
      </c>
      <c r="O94" s="62">
        <f t="shared" si="91"/>
        <v>76454</v>
      </c>
      <c r="P94" s="62">
        <f t="shared" si="91"/>
        <v>0</v>
      </c>
      <c r="Q94" s="62">
        <f t="shared" si="91"/>
        <v>0</v>
      </c>
      <c r="R94" s="62">
        <f t="shared" si="91"/>
        <v>76454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14245</v>
      </c>
      <c r="D95" s="62">
        <f t="shared" si="89"/>
        <v>0</v>
      </c>
      <c r="E95" s="62">
        <f t="shared" si="89"/>
        <v>0</v>
      </c>
      <c r="F95" s="62">
        <f t="shared" si="89"/>
        <v>14245</v>
      </c>
      <c r="H95" s="62">
        <f t="shared" si="90"/>
        <v>0</v>
      </c>
      <c r="I95" s="62">
        <f t="shared" si="90"/>
        <v>71142.119999999981</v>
      </c>
      <c r="J95" s="62">
        <f t="shared" si="90"/>
        <v>0</v>
      </c>
      <c r="K95" s="62">
        <f t="shared" si="90"/>
        <v>0</v>
      </c>
      <c r="L95" s="62">
        <f t="shared" si="90"/>
        <v>71142.119999999981</v>
      </c>
      <c r="N95" s="62">
        <f t="shared" si="91"/>
        <v>0</v>
      </c>
      <c r="O95" s="62">
        <f t="shared" si="91"/>
        <v>85387.119999999981</v>
      </c>
      <c r="P95" s="62">
        <f t="shared" si="91"/>
        <v>0</v>
      </c>
      <c r="Q95" s="62">
        <f t="shared" si="91"/>
        <v>0</v>
      </c>
      <c r="R95" s="62">
        <f t="shared" si="91"/>
        <v>85387.119999999981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7470000</v>
      </c>
      <c r="C100" s="69">
        <f t="shared" ref="C100:E100" si="92">SUM(C88:C99)</f>
        <v>66582</v>
      </c>
      <c r="D100" s="69">
        <f t="shared" si="92"/>
        <v>452124</v>
      </c>
      <c r="E100" s="69">
        <f t="shared" si="92"/>
        <v>62748.000000000007</v>
      </c>
      <c r="F100" s="69">
        <f>SUM(F88:F89)</f>
        <v>7544124</v>
      </c>
      <c r="H100" s="69">
        <f>SUM(H88:H99)</f>
        <v>7470000</v>
      </c>
      <c r="I100" s="69">
        <f t="shared" ref="I100:K100" si="93">SUM(I88:I99)</f>
        <v>403935.12</v>
      </c>
      <c r="J100" s="69">
        <f t="shared" si="93"/>
        <v>518840</v>
      </c>
      <c r="K100" s="69">
        <f t="shared" si="93"/>
        <v>340183.80000000005</v>
      </c>
      <c r="L100" s="69">
        <f>SUM(L88:L89)</f>
        <v>7470000</v>
      </c>
      <c r="N100" s="69">
        <f>SUM(N88:N99)</f>
        <v>14940000</v>
      </c>
      <c r="O100" s="69">
        <f t="shared" ref="O100:Q100" si="94">SUM(O88:O99)</f>
        <v>470517.12</v>
      </c>
      <c r="P100" s="69">
        <f t="shared" si="94"/>
        <v>970964</v>
      </c>
      <c r="Q100" s="69">
        <f t="shared" si="94"/>
        <v>402931.80000000005</v>
      </c>
      <c r="R100" s="69">
        <f>SUM(R88:R89)</f>
        <v>15014124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'FY26'!B104*1.013</f>
        <v>121128.60127858557</v>
      </c>
      <c r="C104" s="7">
        <f>'FY26'!C104*1.013</f>
        <v>0</v>
      </c>
      <c r="D104" s="7"/>
      <c r="E104" s="7"/>
      <c r="F104" s="7">
        <f t="shared" ref="F104:F116" si="101">SUM(B104:E104)</f>
        <v>121128.60127858557</v>
      </c>
      <c r="H104" s="7">
        <f>100000*1.02*1.013*1.013</f>
        <v>104669.23799999997</v>
      </c>
      <c r="I104" s="7"/>
      <c r="J104" s="7"/>
      <c r="K104" s="7"/>
      <c r="L104" s="7">
        <f t="shared" ref="L104:L116" si="102">SUM(H104:K104)</f>
        <v>104669.23799999997</v>
      </c>
      <c r="N104" s="7">
        <f>B104+H104</f>
        <v>225797.83927858554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225797.83927858554</v>
      </c>
    </row>
    <row r="105" spans="1:18" x14ac:dyDescent="0.35">
      <c r="A105" s="63" t="s">
        <v>61</v>
      </c>
      <c r="B105" s="7">
        <f>'FY26'!B105*1.013</f>
        <v>163033.41219038036</v>
      </c>
      <c r="C105" s="7">
        <f>'FY26'!C105*1.013</f>
        <v>0</v>
      </c>
      <c r="D105" s="7"/>
      <c r="E105" s="7"/>
      <c r="F105" s="7">
        <f t="shared" si="101"/>
        <v>163033.41219038036</v>
      </c>
      <c r="H105" s="7">
        <f>(75000+80000)*1.013*1.02*1.013*1.013</f>
        <v>164346.40404569995</v>
      </c>
      <c r="I105" s="7"/>
      <c r="J105" s="7"/>
      <c r="K105" s="7"/>
      <c r="L105" s="7">
        <f t="shared" si="102"/>
        <v>164346.40404569995</v>
      </c>
      <c r="N105" s="7">
        <f t="shared" ref="N105:N116" si="104">B105+H105</f>
        <v>327379.81623608031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327379.81623608031</v>
      </c>
    </row>
    <row r="106" spans="1:18" x14ac:dyDescent="0.35">
      <c r="A106" s="63" t="s">
        <v>33</v>
      </c>
      <c r="B106" s="7">
        <f>'FY26'!B106*1.013</f>
        <v>63808.816744969183</v>
      </c>
      <c r="C106" s="7">
        <f>'FY26'!C106*1.013</f>
        <v>0</v>
      </c>
      <c r="D106" s="7"/>
      <c r="E106" s="7"/>
      <c r="F106" s="7">
        <f t="shared" si="101"/>
        <v>63808.816744969183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63808.816744969183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63808.816744969183</v>
      </c>
    </row>
    <row r="107" spans="1:18" x14ac:dyDescent="0.35">
      <c r="A107" s="63" t="s">
        <v>408</v>
      </c>
      <c r="B107" s="7">
        <f>'FY26'!B107*1.013</f>
        <v>69216.343587763171</v>
      </c>
      <c r="C107" s="7">
        <f>'FY26'!C107*1.013</f>
        <v>0</v>
      </c>
      <c r="D107" s="7"/>
      <c r="E107" s="7"/>
      <c r="F107" s="7">
        <f t="shared" si="101"/>
        <v>69216.343587763171</v>
      </c>
      <c r="H107" s="7">
        <v>0</v>
      </c>
      <c r="I107" s="7">
        <f>55000*1.02*1.013*1.013</f>
        <v>57568.080899999986</v>
      </c>
      <c r="J107" s="7"/>
      <c r="K107" s="7"/>
      <c r="L107" s="7">
        <f t="shared" si="102"/>
        <v>57568.080899999986</v>
      </c>
      <c r="N107" s="7">
        <f t="shared" si="104"/>
        <v>69216.343587763171</v>
      </c>
      <c r="O107" s="7">
        <f t="shared" si="103"/>
        <v>57568.080899999986</v>
      </c>
      <c r="P107" s="7">
        <f t="shared" si="103"/>
        <v>0</v>
      </c>
      <c r="Q107" s="7">
        <f t="shared" si="103"/>
        <v>0</v>
      </c>
      <c r="R107" s="7">
        <f t="shared" si="105"/>
        <v>126784.42448776316</v>
      </c>
    </row>
    <row r="108" spans="1:18" x14ac:dyDescent="0.35">
      <c r="A108" s="63" t="s">
        <v>63</v>
      </c>
      <c r="B108" s="7">
        <f>'FY26'!B108*1.013</f>
        <v>0</v>
      </c>
      <c r="C108" s="7">
        <f>'FY26'!C108*1.013</f>
        <v>72460.85969343959</v>
      </c>
      <c r="D108" s="7"/>
      <c r="E108" s="7"/>
      <c r="F108" s="7">
        <f t="shared" si="101"/>
        <v>72460.85969343959</v>
      </c>
      <c r="H108" s="7">
        <v>0</v>
      </c>
      <c r="I108" s="7">
        <f>57000*1.013*1.013</f>
        <v>58491.632999999987</v>
      </c>
      <c r="J108" s="7"/>
      <c r="K108" s="7"/>
      <c r="L108" s="7">
        <f t="shared" si="102"/>
        <v>58491.632999999987</v>
      </c>
      <c r="N108" s="7">
        <f t="shared" si="104"/>
        <v>0</v>
      </c>
      <c r="O108" s="7">
        <f t="shared" si="103"/>
        <v>130952.49269343958</v>
      </c>
      <c r="P108" s="7">
        <f t="shared" si="103"/>
        <v>0</v>
      </c>
      <c r="Q108" s="7">
        <f t="shared" si="103"/>
        <v>0</v>
      </c>
      <c r="R108" s="7">
        <f t="shared" si="105"/>
        <v>130952.49269343958</v>
      </c>
    </row>
    <row r="109" spans="1:18" x14ac:dyDescent="0.35">
      <c r="A109" s="63" t="s">
        <v>64</v>
      </c>
      <c r="B109" s="7">
        <f>49500*B39</f>
        <v>2079000</v>
      </c>
      <c r="C109" s="7"/>
      <c r="D109" s="7"/>
      <c r="E109" s="7"/>
      <c r="F109" s="7">
        <f t="shared" si="101"/>
        <v>2079000</v>
      </c>
      <c r="G109" s="187">
        <v>49500</v>
      </c>
      <c r="H109" s="7">
        <f>46215*H39</f>
        <v>1894815</v>
      </c>
      <c r="I109" s="7"/>
      <c r="J109" s="7"/>
      <c r="K109" s="7"/>
      <c r="L109" s="7">
        <f t="shared" si="102"/>
        <v>1894815</v>
      </c>
      <c r="M109" s="187">
        <v>46215</v>
      </c>
      <c r="N109" s="7">
        <f t="shared" si="104"/>
        <v>3973815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3973815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49500*D30</f>
        <v>173250</v>
      </c>
      <c r="E111" s="7"/>
      <c r="F111" s="7">
        <f t="shared" si="101"/>
        <v>173250</v>
      </c>
      <c r="H111" s="7">
        <f>43000*H30</f>
        <v>0</v>
      </c>
      <c r="I111" s="7"/>
      <c r="J111" s="7">
        <f>46215*J30</f>
        <v>277290</v>
      </c>
      <c r="K111" s="7"/>
      <c r="L111" s="7">
        <f t="shared" si="102"/>
        <v>277290</v>
      </c>
      <c r="N111" s="7">
        <f t="shared" si="104"/>
        <v>0</v>
      </c>
      <c r="O111" s="7">
        <f t="shared" si="103"/>
        <v>0</v>
      </c>
      <c r="P111" s="7">
        <f t="shared" si="103"/>
        <v>450540</v>
      </c>
      <c r="Q111" s="7">
        <f t="shared" si="103"/>
        <v>0</v>
      </c>
      <c r="R111" s="7">
        <f t="shared" si="105"/>
        <v>450540</v>
      </c>
    </row>
    <row r="112" spans="1:18" x14ac:dyDescent="0.35">
      <c r="A112" s="63" t="s">
        <v>67</v>
      </c>
      <c r="B112" s="7">
        <f>'FY26'!B112*1.013</f>
        <v>113463.04390935165</v>
      </c>
      <c r="C112" s="7"/>
      <c r="D112" s="7"/>
      <c r="E112" s="7"/>
      <c r="F112" s="7">
        <f t="shared" si="101"/>
        <v>113463.04390935165</v>
      </c>
      <c r="H112" s="7">
        <f>((47840+37440)*1.015*1.013*1.02*1.013)</f>
        <v>90600.855058895977</v>
      </c>
      <c r="I112" s="7"/>
      <c r="J112" s="7"/>
      <c r="K112" s="7"/>
      <c r="L112" s="7">
        <f t="shared" si="102"/>
        <v>90600.855058895977</v>
      </c>
      <c r="N112" s="7">
        <f t="shared" si="104"/>
        <v>204063.89896824764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204063.89896824764</v>
      </c>
    </row>
    <row r="113" spans="1:18" x14ac:dyDescent="0.35">
      <c r="A113" s="63" t="s">
        <v>68</v>
      </c>
      <c r="B113" s="7">
        <f>(15*8*190)*(B50+B51)</f>
        <v>45600</v>
      </c>
      <c r="C113" s="7"/>
      <c r="D113" s="7"/>
      <c r="E113" s="7"/>
      <c r="F113" s="7">
        <f t="shared" si="101"/>
        <v>45600</v>
      </c>
      <c r="H113" s="7">
        <f>(14.5*8*190)*(H50+H51)</f>
        <v>44080</v>
      </c>
      <c r="I113" s="7"/>
      <c r="J113" s="7"/>
      <c r="K113" s="7"/>
      <c r="L113" s="7">
        <f t="shared" si="102"/>
        <v>44080</v>
      </c>
      <c r="N113" s="7">
        <f t="shared" si="104"/>
        <v>89680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89680</v>
      </c>
    </row>
    <row r="114" spans="1:18" x14ac:dyDescent="0.35">
      <c r="A114" s="63" t="s">
        <v>69</v>
      </c>
      <c r="B114" s="7">
        <f>(12.75*8*180)*B52</f>
        <v>0</v>
      </c>
      <c r="C114" s="7">
        <f>(14*8*180)*C52</f>
        <v>80640</v>
      </c>
      <c r="D114" s="7">
        <f>(14*8*180)*D52</f>
        <v>60480</v>
      </c>
      <c r="E114" s="7"/>
      <c r="F114" s="7">
        <f t="shared" si="101"/>
        <v>141120</v>
      </c>
      <c r="H114" s="7">
        <f>(12.75*8*180)*H52</f>
        <v>0</v>
      </c>
      <c r="I114" s="7">
        <f>(13.75*8*180)*I52</f>
        <v>99000</v>
      </c>
      <c r="J114" s="7">
        <f>(13.75*8*180)*J52</f>
        <v>79200</v>
      </c>
      <c r="K114" s="7"/>
      <c r="L114" s="7">
        <f t="shared" si="102"/>
        <v>178200</v>
      </c>
      <c r="N114" s="7">
        <f t="shared" si="104"/>
        <v>0</v>
      </c>
      <c r="O114" s="7">
        <f t="shared" si="103"/>
        <v>179640</v>
      </c>
      <c r="P114" s="7">
        <f t="shared" si="103"/>
        <v>139680</v>
      </c>
      <c r="Q114" s="7">
        <f t="shared" si="103"/>
        <v>0</v>
      </c>
      <c r="R114" s="7">
        <f t="shared" si="105"/>
        <v>319320</v>
      </c>
    </row>
    <row r="115" spans="1:18" x14ac:dyDescent="0.35">
      <c r="A115" s="63" t="s">
        <v>70</v>
      </c>
      <c r="B115" s="15">
        <f>(26.25*8*240)</f>
        <v>50400</v>
      </c>
      <c r="C115" s="7"/>
      <c r="D115" s="7"/>
      <c r="E115" s="7"/>
      <c r="F115" s="7">
        <f t="shared" si="101"/>
        <v>50400</v>
      </c>
      <c r="H115" s="15">
        <f>(25.75*8*240)</f>
        <v>49440</v>
      </c>
      <c r="I115" s="7"/>
      <c r="J115" s="7"/>
      <c r="K115" s="7"/>
      <c r="L115" s="7">
        <f t="shared" si="102"/>
        <v>49440</v>
      </c>
      <c r="N115" s="7">
        <f t="shared" si="104"/>
        <v>99840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99840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2705650.2177110501</v>
      </c>
      <c r="C117" s="83">
        <f t="shared" ref="C117:F117" si="106">SUM(C104:C116)</f>
        <v>153100.85969343959</v>
      </c>
      <c r="D117" s="83">
        <f t="shared" si="106"/>
        <v>233730</v>
      </c>
      <c r="E117" s="83">
        <f t="shared" si="106"/>
        <v>0</v>
      </c>
      <c r="F117" s="83">
        <f t="shared" si="106"/>
        <v>3092481.0774044897</v>
      </c>
      <c r="H117" s="83">
        <f>SUM(H104:H116)</f>
        <v>2347951.4971045959</v>
      </c>
      <c r="I117" s="83">
        <f t="shared" ref="I117:L117" si="107">SUM(I104:I116)</f>
        <v>215059.71389999997</v>
      </c>
      <c r="J117" s="83">
        <f t="shared" si="107"/>
        <v>356490</v>
      </c>
      <c r="K117" s="83">
        <f t="shared" si="107"/>
        <v>0</v>
      </c>
      <c r="L117" s="83">
        <f t="shared" si="107"/>
        <v>2919501.2110045957</v>
      </c>
      <c r="N117" s="83">
        <f>SUM(N104:N116)</f>
        <v>5053601.7148156464</v>
      </c>
      <c r="O117" s="83">
        <f t="shared" ref="O117:R117" si="108">SUM(O104:O116)</f>
        <v>368160.57359343953</v>
      </c>
      <c r="P117" s="83">
        <f t="shared" si="108"/>
        <v>590220</v>
      </c>
      <c r="Q117" s="83">
        <f t="shared" si="108"/>
        <v>0</v>
      </c>
      <c r="R117" s="83">
        <f t="shared" si="108"/>
        <v>6011982.2884090859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'FY26'!D121*1.013</f>
        <v>52453.010375101781</v>
      </c>
      <c r="E121" s="7"/>
      <c r="F121" s="7">
        <f t="shared" si="115"/>
        <v>52453.010375101781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52453.010375101781</v>
      </c>
      <c r="Q121" s="7">
        <f t="shared" si="117"/>
        <v>0</v>
      </c>
      <c r="R121" s="7">
        <f t="shared" si="118"/>
        <v>52453.010375101781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'FY26'!C125*1.013</f>
        <v>56238.279165057589</v>
      </c>
      <c r="D125" s="7"/>
      <c r="E125" s="7"/>
      <c r="F125" s="7">
        <f t="shared" si="115"/>
        <v>56238.279165057589</v>
      </c>
      <c r="H125" s="7">
        <v>0</v>
      </c>
      <c r="I125" s="7">
        <f>52000*1.013*1.02*1.013*1.013</f>
        <v>55135.567808879983</v>
      </c>
      <c r="J125" s="7"/>
      <c r="K125" s="7"/>
      <c r="L125" s="7">
        <f t="shared" si="116"/>
        <v>55135.567808879983</v>
      </c>
      <c r="N125" s="7">
        <f t="shared" si="119"/>
        <v>0</v>
      </c>
      <c r="O125" s="7">
        <f t="shared" si="117"/>
        <v>111373.84697393757</v>
      </c>
      <c r="P125" s="7">
        <f t="shared" si="117"/>
        <v>0</v>
      </c>
      <c r="Q125" s="7">
        <f t="shared" si="117"/>
        <v>0</v>
      </c>
      <c r="R125" s="7">
        <f t="shared" si="118"/>
        <v>111373.84697393757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(14.25*6*185)*E54</f>
        <v>15817.5</v>
      </c>
      <c r="F127" s="7">
        <f t="shared" si="115"/>
        <v>15817.5</v>
      </c>
      <c r="H127" s="150"/>
      <c r="I127" s="7">
        <f t="shared" ref="I127" si="121">(12.5*6*185)*I54</f>
        <v>0</v>
      </c>
      <c r="J127" s="150"/>
      <c r="K127" s="7">
        <f>(13.75*8*185)*K54</f>
        <v>20350</v>
      </c>
      <c r="L127" s="7">
        <f t="shared" si="116"/>
        <v>20350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36167.5</v>
      </c>
      <c r="R127" s="7">
        <f t="shared" si="118"/>
        <v>36167.5</v>
      </c>
    </row>
    <row r="128" spans="1:18" x14ac:dyDescent="0.35">
      <c r="A128" s="63" t="s">
        <v>78</v>
      </c>
      <c r="B128" s="37">
        <f>130*180</f>
        <v>23400</v>
      </c>
      <c r="C128" s="37"/>
      <c r="D128" s="37"/>
      <c r="E128" s="37"/>
      <c r="F128" s="7">
        <f t="shared" si="115"/>
        <v>23400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45900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45900</v>
      </c>
    </row>
    <row r="129" spans="1:18" ht="15" thickBot="1" x14ac:dyDescent="0.4">
      <c r="A129" s="82" t="s">
        <v>79</v>
      </c>
      <c r="B129" s="87">
        <f>SUM(B119:B128)</f>
        <v>23400</v>
      </c>
      <c r="C129" s="87">
        <f t="shared" ref="C129" si="122">SUM(C119:C128)</f>
        <v>56238.279165057589</v>
      </c>
      <c r="D129" s="87">
        <f>SUM(D119:D128)</f>
        <v>52453.010375101781</v>
      </c>
      <c r="E129" s="87">
        <f t="shared" ref="E129:F129" si="123">SUM(E119:E128)</f>
        <v>15817.5</v>
      </c>
      <c r="F129" s="87">
        <f t="shared" si="123"/>
        <v>147908.78954015937</v>
      </c>
      <c r="H129" s="87">
        <f>SUM(H119:H128)</f>
        <v>22500</v>
      </c>
      <c r="I129" s="87">
        <f t="shared" ref="I129" si="124">SUM(I119:I128)</f>
        <v>55135.567808879983</v>
      </c>
      <c r="J129" s="87">
        <f>SUM(J119:J128)</f>
        <v>0</v>
      </c>
      <c r="K129" s="87">
        <f t="shared" ref="K129:L129" si="125">SUM(K119:K128)</f>
        <v>20350</v>
      </c>
      <c r="L129" s="87">
        <f t="shared" si="125"/>
        <v>97985.567808879976</v>
      </c>
      <c r="N129" s="87">
        <f>SUM(N119:N128)</f>
        <v>45900</v>
      </c>
      <c r="O129" s="87">
        <f t="shared" ref="O129" si="126">SUM(O119:O128)</f>
        <v>111373.84697393757</v>
      </c>
      <c r="P129" s="87">
        <f>SUM(P119:P128)</f>
        <v>52453.010375101781</v>
      </c>
      <c r="Q129" s="87">
        <f t="shared" ref="Q129:R129" si="127">SUM(Q119:Q128)</f>
        <v>36167.5</v>
      </c>
      <c r="R129" s="87">
        <f t="shared" si="127"/>
        <v>245894.35734903935</v>
      </c>
    </row>
    <row r="130" spans="1:18" ht="15" thickBot="1" x14ac:dyDescent="0.4">
      <c r="A130" s="89" t="s">
        <v>80</v>
      </c>
      <c r="B130" s="90">
        <f>B117+B129</f>
        <v>2729050.2177110501</v>
      </c>
      <c r="C130" s="90">
        <f t="shared" ref="C130" si="128">C117+C129</f>
        <v>209339.13885849717</v>
      </c>
      <c r="D130" s="90">
        <f>D117+D129</f>
        <v>286183.01037510176</v>
      </c>
      <c r="E130" s="90">
        <f t="shared" ref="E130:F130" si="129">E117+E129</f>
        <v>15817.5</v>
      </c>
      <c r="F130" s="90">
        <f t="shared" si="129"/>
        <v>3240389.8669446493</v>
      </c>
      <c r="H130" s="90">
        <f>H117+H129</f>
        <v>2370451.4971045959</v>
      </c>
      <c r="I130" s="90">
        <f t="shared" ref="I130" si="130">I117+I129</f>
        <v>270195.28170887998</v>
      </c>
      <c r="J130" s="90">
        <f>J117+J129</f>
        <v>356490</v>
      </c>
      <c r="K130" s="90">
        <f t="shared" ref="K130:L130" si="131">K117+K129</f>
        <v>20350</v>
      </c>
      <c r="L130" s="90">
        <f t="shared" si="131"/>
        <v>3017486.7788134757</v>
      </c>
      <c r="N130" s="90">
        <f>N117+N129</f>
        <v>5099501.7148156464</v>
      </c>
      <c r="O130" s="90">
        <f t="shared" ref="O130" si="132">O117+O129</f>
        <v>479534.42056737712</v>
      </c>
      <c r="P130" s="90">
        <f>P117+P129</f>
        <v>642673.01037510182</v>
      </c>
      <c r="Q130" s="90">
        <f t="shared" ref="Q130:R130" si="133">Q117+Q129</f>
        <v>36167.5</v>
      </c>
      <c r="R130" s="90">
        <f t="shared" si="133"/>
        <v>6257876.645758125</v>
      </c>
    </row>
    <row r="131" spans="1:18" x14ac:dyDescent="0.35">
      <c r="A131" s="63" t="s">
        <v>217</v>
      </c>
      <c r="B131" s="62">
        <f>B130*0.2975</f>
        <v>811892.4397690373</v>
      </c>
      <c r="C131" s="62">
        <f t="shared" ref="C131" si="134">C130*0.2975</f>
        <v>62278.393810402908</v>
      </c>
      <c r="D131" s="62">
        <f>D130*0.2975</f>
        <v>85139.445586592774</v>
      </c>
      <c r="E131" s="62">
        <f t="shared" ref="E131" si="135">E130*0.2975</f>
        <v>4705.7062500000002</v>
      </c>
      <c r="F131" s="62">
        <f>F130*0.2975</f>
        <v>964015.98541603307</v>
      </c>
      <c r="H131" s="62">
        <f>H130*0.2975</f>
        <v>705209.32038861723</v>
      </c>
      <c r="I131" s="62">
        <f t="shared" ref="I131" si="136">I130*0.2975</f>
        <v>80383.096308391789</v>
      </c>
      <c r="J131" s="62">
        <f>J130*0.2975</f>
        <v>106055.77499999999</v>
      </c>
      <c r="K131" s="62">
        <f t="shared" ref="K131" si="137">K130*0.2975</f>
        <v>6054.125</v>
      </c>
      <c r="L131" s="62">
        <f>L130*0.2975</f>
        <v>897702.31669700902</v>
      </c>
      <c r="N131" s="7">
        <f>B131+H131</f>
        <v>1517101.7601576545</v>
      </c>
      <c r="O131" s="7">
        <f t="shared" ref="O131:Q136" si="138">C131+I131</f>
        <v>142661.4901187947</v>
      </c>
      <c r="P131" s="7">
        <f t="shared" si="138"/>
        <v>191195.22058659277</v>
      </c>
      <c r="Q131" s="7">
        <f t="shared" si="138"/>
        <v>10759.831249999999</v>
      </c>
      <c r="R131" s="152">
        <f t="shared" ref="R131:R136" si="139">SUM(N131:Q131)</f>
        <v>1861718.302113042</v>
      </c>
    </row>
    <row r="132" spans="1:18" x14ac:dyDescent="0.35">
      <c r="A132" s="63" t="s">
        <v>81</v>
      </c>
      <c r="B132" s="7">
        <f>B130*0.1925</f>
        <v>525342.16690937721</v>
      </c>
      <c r="C132" s="7">
        <f t="shared" ref="C132:E132" si="140">C130*0.1925</f>
        <v>40297.78423026071</v>
      </c>
      <c r="D132" s="7">
        <f t="shared" si="140"/>
        <v>55090.229497207089</v>
      </c>
      <c r="E132" s="7">
        <f t="shared" si="140"/>
        <v>3044.8687500000001</v>
      </c>
      <c r="F132" s="7">
        <f>SUM(B132:E132)</f>
        <v>623775.04938684509</v>
      </c>
      <c r="H132" s="7">
        <f>H130*0.1925</f>
        <v>456311.9131926347</v>
      </c>
      <c r="I132" s="7">
        <f t="shared" ref="I132:K132" si="141">I130*0.1925</f>
        <v>52012.5917289594</v>
      </c>
      <c r="J132" s="7">
        <f t="shared" si="141"/>
        <v>68624.324999999997</v>
      </c>
      <c r="K132" s="7">
        <f t="shared" si="141"/>
        <v>3917.375</v>
      </c>
      <c r="L132" s="7">
        <f>SUM(H132:K132)</f>
        <v>580866.20492159412</v>
      </c>
      <c r="N132" s="7">
        <f t="shared" ref="N132:N136" si="142">B132+H132</f>
        <v>981654.08010201191</v>
      </c>
      <c r="O132" s="7">
        <f t="shared" si="138"/>
        <v>92310.37595922011</v>
      </c>
      <c r="P132" s="7">
        <f t="shared" si="138"/>
        <v>123714.55449720708</v>
      </c>
      <c r="Q132" s="7">
        <f t="shared" si="138"/>
        <v>6962.2437499999996</v>
      </c>
      <c r="R132" s="152">
        <f t="shared" si="139"/>
        <v>1204641.2543084389</v>
      </c>
    </row>
    <row r="133" spans="1:18" x14ac:dyDescent="0.35">
      <c r="A133" s="63" t="s">
        <v>82</v>
      </c>
      <c r="B133" s="7">
        <f>'FY26'!B133*1.013</f>
        <v>62042.962964518789</v>
      </c>
      <c r="C133" s="7">
        <f>'FY26'!C133*1.013</f>
        <v>4430.6488445399991</v>
      </c>
      <c r="D133" s="7">
        <f>'FY26'!D133*1.013</f>
        <v>6165.5414643899994</v>
      </c>
      <c r="E133" s="7">
        <f>'FY26'!E133*1.013</f>
        <v>453.74114672999997</v>
      </c>
      <c r="F133" s="152">
        <f>SUM(B133:E133)</f>
        <v>73092.894420178782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(125*H67)+(((H42*2000)+(H43*1500)+(H44*1200)+(H46*1200)+(H47*1200)+(H48*1000)+(H49*1000)+(H50*300)+(H51*300)+(H52*300)+(H53*300)+(H54*300)+(H56*1000)+(H57*1000)+(H58*1000)+(H59*1000)+(H60*1000)+(H61*1000)+(H39*1000)+(1000*H55))*0.9)</f>
        <v>51340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4455</v>
      </c>
      <c r="J133" s="152">
        <f t="shared" si="143"/>
        <v>7730</v>
      </c>
      <c r="K133" s="152">
        <f t="shared" si="143"/>
        <v>395</v>
      </c>
      <c r="L133" s="152">
        <f>SUM(H133:K133)</f>
        <v>63920</v>
      </c>
      <c r="N133" s="7">
        <f t="shared" si="142"/>
        <v>113382.96296451878</v>
      </c>
      <c r="O133" s="7">
        <f t="shared" si="138"/>
        <v>8885.6488445399991</v>
      </c>
      <c r="P133" s="7">
        <f t="shared" si="138"/>
        <v>13895.54146439</v>
      </c>
      <c r="Q133" s="7">
        <f t="shared" si="138"/>
        <v>848.74114672999997</v>
      </c>
      <c r="R133" s="152">
        <f t="shared" si="139"/>
        <v>137012.89442017878</v>
      </c>
    </row>
    <row r="134" spans="1:18" x14ac:dyDescent="0.35">
      <c r="A134" s="63" t="s">
        <v>83</v>
      </c>
      <c r="B134" s="94"/>
      <c r="C134" s="94"/>
      <c r="D134" s="94"/>
      <c r="E134" s="94"/>
      <c r="F134" s="152">
        <f t="shared" ref="F134:F135" si="144">SUM(B134:E134)</f>
        <v>0</v>
      </c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si="139"/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152">
        <f t="shared" si="144"/>
        <v>7200</v>
      </c>
      <c r="H135" s="7">
        <f>1800*4</f>
        <v>7200</v>
      </c>
      <c r="I135" s="7"/>
      <c r="J135" s="7"/>
      <c r="K135" s="7"/>
      <c r="L135" s="7">
        <f t="shared" ref="L135" si="145">1800*3</f>
        <v>5400</v>
      </c>
      <c r="N135" s="7">
        <f t="shared" si="142"/>
        <v>14400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39"/>
        <v>14400</v>
      </c>
    </row>
    <row r="136" spans="1:18" x14ac:dyDescent="0.35">
      <c r="A136" s="63" t="s">
        <v>218</v>
      </c>
      <c r="B136" s="37">
        <f>(170*10*B39)-B128</f>
        <v>48000</v>
      </c>
      <c r="C136" s="37">
        <f>(170*10*(C39+C61))-C128</f>
        <v>1700</v>
      </c>
      <c r="D136" s="37">
        <f>(170*10*D39)-D128</f>
        <v>5950</v>
      </c>
      <c r="E136" s="37">
        <f>(170*10*E39)-E128</f>
        <v>0</v>
      </c>
      <c r="F136" s="37">
        <f t="shared" ref="F136" si="146">(165*10*F39)-F128</f>
        <v>51675</v>
      </c>
      <c r="H136" s="37">
        <f>(170*10*H39)-H128</f>
        <v>47200</v>
      </c>
      <c r="I136" s="37">
        <f>(170*10*(I39+I61))-I128</f>
        <v>1700</v>
      </c>
      <c r="J136" s="37">
        <f>(170*10*J39)-J128</f>
        <v>10200</v>
      </c>
      <c r="K136" s="37">
        <f>(170*10*K39)-K128</f>
        <v>0</v>
      </c>
      <c r="L136" s="37">
        <f t="shared" ref="L136" si="147">(165*10*L39)-L128</f>
        <v>55050</v>
      </c>
      <c r="N136" s="7">
        <f t="shared" si="142"/>
        <v>95200</v>
      </c>
      <c r="O136" s="7">
        <f t="shared" si="138"/>
        <v>3400</v>
      </c>
      <c r="P136" s="7">
        <f t="shared" si="138"/>
        <v>16150</v>
      </c>
      <c r="Q136" s="7">
        <f t="shared" si="138"/>
        <v>0</v>
      </c>
      <c r="R136" s="152">
        <f t="shared" si="139"/>
        <v>114750</v>
      </c>
    </row>
    <row r="137" spans="1:18" ht="15" thickBot="1" x14ac:dyDescent="0.4">
      <c r="A137" s="91" t="s">
        <v>85</v>
      </c>
      <c r="B137" s="87">
        <f>SUM(B131:B136)</f>
        <v>1454477.5696429333</v>
      </c>
      <c r="C137" s="87">
        <f t="shared" ref="C137" si="148">SUM(C131:C136)</f>
        <v>108706.82688520363</v>
      </c>
      <c r="D137" s="87">
        <f>SUM(D131:D136)</f>
        <v>152345.21654818987</v>
      </c>
      <c r="E137" s="87">
        <f t="shared" ref="E137:F137" si="149">SUM(E131:E136)</f>
        <v>8204.3161467300015</v>
      </c>
      <c r="F137" s="87">
        <f t="shared" si="149"/>
        <v>1719758.9292230571</v>
      </c>
      <c r="H137" s="87">
        <f>SUM(H131:H136)</f>
        <v>1267261.2335812519</v>
      </c>
      <c r="I137" s="87">
        <f t="shared" ref="I137" si="150">SUM(I131:I136)</f>
        <v>138550.68803735118</v>
      </c>
      <c r="J137" s="87">
        <f>SUM(J131:J136)</f>
        <v>192610.09999999998</v>
      </c>
      <c r="K137" s="87">
        <f t="shared" ref="K137:L137" si="151">SUM(K131:K136)</f>
        <v>10366.5</v>
      </c>
      <c r="L137" s="87">
        <f t="shared" si="151"/>
        <v>1602938.5216186033</v>
      </c>
      <c r="N137" s="87">
        <f>SUM(N131:N136)</f>
        <v>2721738.8032241855</v>
      </c>
      <c r="O137" s="87">
        <f t="shared" ref="O137" si="152">SUM(O131:O136)</f>
        <v>247257.51492255481</v>
      </c>
      <c r="P137" s="87">
        <f>SUM(P131:P136)</f>
        <v>344955.31654818985</v>
      </c>
      <c r="Q137" s="87">
        <f t="shared" ref="Q137:R137" si="153">SUM(Q131:Q136)</f>
        <v>18570.816146729998</v>
      </c>
      <c r="R137" s="87">
        <f t="shared" si="153"/>
        <v>3332522.4508416597</v>
      </c>
    </row>
    <row r="138" spans="1:18" ht="15" thickBot="1" x14ac:dyDescent="0.4">
      <c r="A138" s="95" t="s">
        <v>86</v>
      </c>
      <c r="B138" s="90">
        <f>B130+B137</f>
        <v>4183527.7873539831</v>
      </c>
      <c r="C138" s="90">
        <f t="shared" ref="C138" si="154">C130+C137</f>
        <v>318045.9657437008</v>
      </c>
      <c r="D138" s="90">
        <f>D130+D137</f>
        <v>438528.22692329163</v>
      </c>
      <c r="E138" s="90">
        <f t="shared" ref="E138:F138" si="155">E130+E137</f>
        <v>24021.816146730001</v>
      </c>
      <c r="F138" s="90">
        <f t="shared" si="155"/>
        <v>4960148.7961677061</v>
      </c>
      <c r="H138" s="90">
        <f>H130+H137</f>
        <v>3637712.7306858478</v>
      </c>
      <c r="I138" s="90">
        <f t="shared" ref="I138" si="156">I130+I137</f>
        <v>408745.96974623116</v>
      </c>
      <c r="J138" s="90">
        <f>J130+J137</f>
        <v>549100.1</v>
      </c>
      <c r="K138" s="90">
        <f t="shared" ref="K138:L138" si="157">K130+K137</f>
        <v>30716.5</v>
      </c>
      <c r="L138" s="90">
        <f t="shared" si="157"/>
        <v>4620425.3004320785</v>
      </c>
      <c r="N138" s="90">
        <f>N130+N137</f>
        <v>7821240.5180398319</v>
      </c>
      <c r="O138" s="90">
        <f t="shared" ref="O138" si="158">O130+O137</f>
        <v>726791.93548993196</v>
      </c>
      <c r="P138" s="90">
        <f>P130+P137</f>
        <v>987628.32692329166</v>
      </c>
      <c r="Q138" s="90">
        <f t="shared" ref="Q138:R138" si="159">Q130+Q137</f>
        <v>54738.316146729994</v>
      </c>
      <c r="R138" s="90">
        <f t="shared" si="159"/>
        <v>9590399.0965997837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0">C1</f>
        <v>Weights</v>
      </c>
      <c r="D139" s="153" t="str">
        <f>D1</f>
        <v>SPED</v>
      </c>
      <c r="E139" s="153" t="str">
        <f t="shared" ref="E139:F139" si="161">E1</f>
        <v>NSLP</v>
      </c>
      <c r="F139" s="153" t="str">
        <f t="shared" si="161"/>
        <v>Mt. Rose</v>
      </c>
      <c r="H139" s="153" t="str">
        <f>H1</f>
        <v>Operating</v>
      </c>
      <c r="I139" s="153" t="str">
        <f t="shared" ref="I139" si="162">I1</f>
        <v>Weights</v>
      </c>
      <c r="J139" s="153" t="str">
        <f>J1</f>
        <v>SPED</v>
      </c>
      <c r="K139" s="153" t="str">
        <f t="shared" ref="K139:L139" si="163">K1</f>
        <v>NSLP</v>
      </c>
      <c r="L139" s="153" t="str">
        <f t="shared" si="163"/>
        <v>New Campus</v>
      </c>
      <c r="N139" s="153" t="str">
        <f>N1</f>
        <v>Operating</v>
      </c>
      <c r="O139" s="153" t="str">
        <f t="shared" ref="O139" si="164">O1</f>
        <v>Weights</v>
      </c>
      <c r="P139" s="153" t="str">
        <f>P1</f>
        <v>SPED</v>
      </c>
      <c r="Q139" s="153" t="str">
        <f t="shared" ref="Q139:R139" si="165">Q1</f>
        <v>NSLP</v>
      </c>
      <c r="R139" s="153" t="str">
        <f t="shared" si="165"/>
        <v>DANN Total</v>
      </c>
    </row>
    <row r="140" spans="1:18" x14ac:dyDescent="0.35">
      <c r="A140" s="98" t="s">
        <v>88</v>
      </c>
      <c r="B140" s="15">
        <f>150*B19</f>
        <v>149400</v>
      </c>
      <c r="C140" s="15"/>
      <c r="D140" s="15"/>
      <c r="E140" s="15"/>
      <c r="F140" s="15">
        <f t="shared" ref="F140:F148" si="166">SUM(B140:E140)</f>
        <v>149400</v>
      </c>
      <c r="H140" s="15">
        <f>150*H19</f>
        <v>149400</v>
      </c>
      <c r="I140" s="15"/>
      <c r="J140" s="15"/>
      <c r="K140" s="15"/>
      <c r="L140" s="15">
        <f t="shared" ref="L140:L148" si="167">SUM(H140:K140)</f>
        <v>149400</v>
      </c>
      <c r="N140" s="7">
        <f t="shared" ref="N140:Q149" si="168">B140+H140</f>
        <v>298800</v>
      </c>
      <c r="O140" s="7">
        <f t="shared" si="168"/>
        <v>0</v>
      </c>
      <c r="P140" s="7">
        <f t="shared" si="168"/>
        <v>0</v>
      </c>
      <c r="Q140" s="7">
        <f t="shared" si="168"/>
        <v>0</v>
      </c>
      <c r="R140" s="15">
        <f t="shared" ref="R140:R148" si="169">SUM(N140:Q140)</f>
        <v>298800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6"/>
        <v>0</v>
      </c>
      <c r="H141" s="7">
        <v>0</v>
      </c>
      <c r="I141" s="7"/>
      <c r="J141" s="7"/>
      <c r="K141" s="7"/>
      <c r="L141" s="15">
        <f t="shared" si="167"/>
        <v>0</v>
      </c>
      <c r="N141" s="7">
        <f t="shared" si="168"/>
        <v>0</v>
      </c>
      <c r="O141" s="7">
        <f t="shared" si="168"/>
        <v>0</v>
      </c>
      <c r="P141" s="7">
        <f t="shared" si="168"/>
        <v>0</v>
      </c>
      <c r="Q141" s="7">
        <f t="shared" si="168"/>
        <v>0</v>
      </c>
      <c r="R141" s="15">
        <f t="shared" si="169"/>
        <v>0</v>
      </c>
    </row>
    <row r="142" spans="1:18" x14ac:dyDescent="0.35">
      <c r="A142" s="63" t="s">
        <v>89</v>
      </c>
      <c r="B142" s="11">
        <v>120000</v>
      </c>
      <c r="C142" s="11"/>
      <c r="D142" s="11"/>
      <c r="E142" s="11"/>
      <c r="F142" s="15">
        <f t="shared" si="166"/>
        <v>120000</v>
      </c>
      <c r="H142" s="11">
        <v>250000</v>
      </c>
      <c r="I142" s="11"/>
      <c r="J142" s="11"/>
      <c r="K142" s="11"/>
      <c r="L142" s="15">
        <f t="shared" si="167"/>
        <v>250000</v>
      </c>
      <c r="N142" s="7">
        <f t="shared" si="168"/>
        <v>370000</v>
      </c>
      <c r="O142" s="7">
        <f t="shared" si="168"/>
        <v>0</v>
      </c>
      <c r="P142" s="7">
        <f t="shared" si="168"/>
        <v>0</v>
      </c>
      <c r="Q142" s="7">
        <f t="shared" si="168"/>
        <v>0</v>
      </c>
      <c r="R142" s="15">
        <f t="shared" si="169"/>
        <v>370000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6"/>
        <v>0</v>
      </c>
      <c r="H143" s="7"/>
      <c r="I143" s="7">
        <v>0</v>
      </c>
      <c r="J143" s="7"/>
      <c r="K143" s="7"/>
      <c r="L143" s="15">
        <f t="shared" si="167"/>
        <v>0</v>
      </c>
      <c r="N143" s="7">
        <f t="shared" si="168"/>
        <v>0</v>
      </c>
      <c r="O143" s="7">
        <f t="shared" si="168"/>
        <v>0</v>
      </c>
      <c r="P143" s="7">
        <f t="shared" si="168"/>
        <v>0</v>
      </c>
      <c r="Q143" s="7">
        <f t="shared" si="168"/>
        <v>0</v>
      </c>
      <c r="R143" s="15">
        <f t="shared" si="169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0">13*C19</f>
        <v>0</v>
      </c>
      <c r="D144" s="7"/>
      <c r="E144" s="7"/>
      <c r="F144" s="15">
        <f t="shared" si="166"/>
        <v>13944</v>
      </c>
      <c r="H144" s="7">
        <f>14*H19</f>
        <v>13944</v>
      </c>
      <c r="I144" s="7">
        <f t="shared" ref="I144" si="171">13*I19</f>
        <v>0</v>
      </c>
      <c r="J144" s="7"/>
      <c r="K144" s="7"/>
      <c r="L144" s="15">
        <f t="shared" si="167"/>
        <v>13944</v>
      </c>
      <c r="N144" s="7">
        <f t="shared" si="168"/>
        <v>27888</v>
      </c>
      <c r="O144" s="7">
        <f t="shared" si="168"/>
        <v>0</v>
      </c>
      <c r="P144" s="7">
        <f t="shared" si="168"/>
        <v>0</v>
      </c>
      <c r="Q144" s="7">
        <f t="shared" si="168"/>
        <v>0</v>
      </c>
      <c r="R144" s="15">
        <f t="shared" si="169"/>
        <v>27888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6"/>
        <v>28884</v>
      </c>
      <c r="H145" s="7">
        <f>(29*H19)</f>
        <v>28884</v>
      </c>
      <c r="I145" s="7">
        <v>0</v>
      </c>
      <c r="J145" s="7"/>
      <c r="K145" s="7"/>
      <c r="L145" s="15">
        <f t="shared" si="167"/>
        <v>28884</v>
      </c>
      <c r="N145" s="7">
        <f t="shared" si="168"/>
        <v>57768</v>
      </c>
      <c r="O145" s="7">
        <f t="shared" si="168"/>
        <v>0</v>
      </c>
      <c r="P145" s="7">
        <f t="shared" si="168"/>
        <v>0</v>
      </c>
      <c r="Q145" s="7">
        <f t="shared" si="168"/>
        <v>0</v>
      </c>
      <c r="R145" s="15">
        <f t="shared" si="169"/>
        <v>57768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2">4*C19</f>
        <v>0</v>
      </c>
      <c r="D146" s="7"/>
      <c r="E146" s="7"/>
      <c r="F146" s="15">
        <f t="shared" si="166"/>
        <v>4233</v>
      </c>
      <c r="H146" s="7">
        <f>4.25*H19</f>
        <v>4233</v>
      </c>
      <c r="I146" s="7">
        <f t="shared" ref="I146" si="173">4*I19</f>
        <v>0</v>
      </c>
      <c r="J146" s="7"/>
      <c r="K146" s="7"/>
      <c r="L146" s="15">
        <f t="shared" si="167"/>
        <v>4233</v>
      </c>
      <c r="N146" s="7">
        <f t="shared" si="168"/>
        <v>8466</v>
      </c>
      <c r="O146" s="7">
        <f t="shared" si="168"/>
        <v>0</v>
      </c>
      <c r="P146" s="7">
        <f t="shared" si="168"/>
        <v>0</v>
      </c>
      <c r="Q146" s="7">
        <f t="shared" si="168"/>
        <v>0</v>
      </c>
      <c r="R146" s="15">
        <f t="shared" si="169"/>
        <v>8466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4">3*C19</f>
        <v>0</v>
      </c>
      <c r="D147" s="7"/>
      <c r="E147" s="7"/>
      <c r="F147" s="15">
        <f t="shared" si="166"/>
        <v>3237</v>
      </c>
      <c r="H147" s="7">
        <f>3.25*H19</f>
        <v>3237</v>
      </c>
      <c r="I147" s="7">
        <f t="shared" ref="I147" si="175">3*I19</f>
        <v>0</v>
      </c>
      <c r="J147" s="7"/>
      <c r="K147" s="7"/>
      <c r="L147" s="15">
        <f t="shared" si="167"/>
        <v>3237</v>
      </c>
      <c r="N147" s="7">
        <f t="shared" si="168"/>
        <v>6474</v>
      </c>
      <c r="O147" s="7">
        <f t="shared" si="168"/>
        <v>0</v>
      </c>
      <c r="P147" s="7">
        <f t="shared" si="168"/>
        <v>0</v>
      </c>
      <c r="Q147" s="7">
        <f t="shared" si="168"/>
        <v>0</v>
      </c>
      <c r="R147" s="15">
        <f t="shared" si="169"/>
        <v>6474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6">120*C22</f>
        <v>0</v>
      </c>
      <c r="D148" s="7">
        <f>129*D22</f>
        <v>13932</v>
      </c>
      <c r="E148" s="7"/>
      <c r="F148" s="15">
        <f t="shared" si="166"/>
        <v>13932</v>
      </c>
      <c r="H148" s="7">
        <f>120*H22</f>
        <v>0</v>
      </c>
      <c r="I148" s="7">
        <f t="shared" ref="I148" si="177">120*I22</f>
        <v>0</v>
      </c>
      <c r="J148" s="7">
        <f>129*J22</f>
        <v>19122.960000000003</v>
      </c>
      <c r="K148" s="7"/>
      <c r="L148" s="15">
        <f t="shared" si="167"/>
        <v>19122.960000000003</v>
      </c>
      <c r="N148" s="7">
        <f t="shared" si="168"/>
        <v>0</v>
      </c>
      <c r="O148" s="7">
        <f t="shared" si="168"/>
        <v>0</v>
      </c>
      <c r="P148" s="7">
        <f t="shared" si="168"/>
        <v>33054.960000000006</v>
      </c>
      <c r="Q148" s="7">
        <f t="shared" si="168"/>
        <v>0</v>
      </c>
      <c r="R148" s="15">
        <f t="shared" si="169"/>
        <v>33054.960000000006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68"/>
        <v>0</v>
      </c>
      <c r="O149" s="7">
        <f t="shared" si="168"/>
        <v>0</v>
      </c>
      <c r="P149" s="7">
        <f t="shared" si="168"/>
        <v>0</v>
      </c>
      <c r="Q149" s="7">
        <f t="shared" si="168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319698</v>
      </c>
      <c r="C150" s="92">
        <f t="shared" ref="C150:F150" si="178">SUM(C140:C149)</f>
        <v>0</v>
      </c>
      <c r="D150" s="92">
        <f t="shared" si="178"/>
        <v>13932</v>
      </c>
      <c r="E150" s="92">
        <f t="shared" si="178"/>
        <v>0</v>
      </c>
      <c r="F150" s="92">
        <f t="shared" si="178"/>
        <v>333630</v>
      </c>
      <c r="H150" s="92">
        <f>SUM(H140:H149)</f>
        <v>449698</v>
      </c>
      <c r="I150" s="92">
        <f t="shared" ref="I150:L150" si="179">SUM(I140:I149)</f>
        <v>0</v>
      </c>
      <c r="J150" s="92">
        <f t="shared" si="179"/>
        <v>19122.960000000003</v>
      </c>
      <c r="K150" s="92">
        <f t="shared" si="179"/>
        <v>0</v>
      </c>
      <c r="L150" s="92">
        <f t="shared" si="179"/>
        <v>468820.96</v>
      </c>
      <c r="N150" s="92">
        <f>SUM(N140:N149)</f>
        <v>769396</v>
      </c>
      <c r="O150" s="92">
        <f t="shared" ref="O150:R150" si="180">SUM(O140:O149)</f>
        <v>0</v>
      </c>
      <c r="P150" s="92">
        <f t="shared" si="180"/>
        <v>33054.960000000006</v>
      </c>
      <c r="Q150" s="92">
        <f t="shared" si="180"/>
        <v>0</v>
      </c>
      <c r="R150" s="92">
        <f t="shared" si="180"/>
        <v>802450.96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1">C1</f>
        <v>Weights</v>
      </c>
      <c r="D151" s="153" t="str">
        <f>D1</f>
        <v>SPED</v>
      </c>
      <c r="E151" s="153" t="str">
        <f t="shared" ref="E151:F151" si="182">E1</f>
        <v>NSLP</v>
      </c>
      <c r="F151" s="153" t="str">
        <f t="shared" si="182"/>
        <v>Mt. Rose</v>
      </c>
      <c r="H151" s="153" t="str">
        <f>H1</f>
        <v>Operating</v>
      </c>
      <c r="I151" s="153" t="str">
        <f t="shared" ref="I151" si="183">I1</f>
        <v>Weights</v>
      </c>
      <c r="J151" s="153" t="str">
        <f>J1</f>
        <v>SPED</v>
      </c>
      <c r="K151" s="153" t="str">
        <f t="shared" ref="K151:L151" si="184">K1</f>
        <v>NSLP</v>
      </c>
      <c r="L151" s="153" t="str">
        <f t="shared" si="184"/>
        <v>New Campus</v>
      </c>
      <c r="N151" s="153" t="str">
        <f>N1</f>
        <v>Operating</v>
      </c>
      <c r="O151" s="153" t="str">
        <f t="shared" ref="O151" si="185">O1</f>
        <v>Weights</v>
      </c>
      <c r="P151" s="153" t="str">
        <f>P1</f>
        <v>SPED</v>
      </c>
      <c r="Q151" s="153" t="str">
        <f t="shared" ref="Q151:R151" si="186">Q1</f>
        <v>NSLP</v>
      </c>
      <c r="R151" s="153" t="str">
        <f t="shared" si="186"/>
        <v>DANN Total</v>
      </c>
    </row>
    <row r="152" spans="1:18" x14ac:dyDescent="0.35">
      <c r="A152" s="63" t="s">
        <v>99</v>
      </c>
      <c r="B152" s="80">
        <v>0</v>
      </c>
      <c r="C152" s="80">
        <f>12500*1.03*1.03</f>
        <v>13261.25</v>
      </c>
      <c r="D152" s="80"/>
      <c r="E152" s="80"/>
      <c r="F152" s="80">
        <f t="shared" ref="F152:F163" si="187">SUM(B152:E152)</f>
        <v>13261.25</v>
      </c>
      <c r="H152" s="80">
        <v>0</v>
      </c>
      <c r="I152" s="80">
        <f>12500*1.03*1.03</f>
        <v>13261.25</v>
      </c>
      <c r="J152" s="80"/>
      <c r="K152" s="80"/>
      <c r="L152" s="80">
        <f t="shared" ref="L152:L163" si="188">SUM(H152:K152)</f>
        <v>13261.25</v>
      </c>
      <c r="N152" s="7">
        <f t="shared" ref="N152:Q164" si="189">B152+H152</f>
        <v>0</v>
      </c>
      <c r="O152" s="7">
        <f t="shared" si="189"/>
        <v>26522.5</v>
      </c>
      <c r="P152" s="7">
        <f t="shared" si="189"/>
        <v>0</v>
      </c>
      <c r="Q152" s="7">
        <f t="shared" si="189"/>
        <v>0</v>
      </c>
      <c r="R152" s="80">
        <f t="shared" ref="R152:R163" si="190">SUM(N152:Q152)</f>
        <v>26522.5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87"/>
        <v>258960</v>
      </c>
      <c r="H153" s="14">
        <v>0</v>
      </c>
      <c r="I153" s="146"/>
      <c r="J153" s="11">
        <f>255*H19</f>
        <v>253980</v>
      </c>
      <c r="K153" s="146"/>
      <c r="L153" s="80">
        <f t="shared" si="188"/>
        <v>253980</v>
      </c>
      <c r="N153" s="7">
        <f t="shared" si="189"/>
        <v>0</v>
      </c>
      <c r="O153" s="7">
        <f t="shared" si="189"/>
        <v>0</v>
      </c>
      <c r="P153" s="7">
        <f t="shared" si="189"/>
        <v>512940</v>
      </c>
      <c r="Q153" s="7">
        <f t="shared" si="189"/>
        <v>0</v>
      </c>
      <c r="R153" s="80">
        <f t="shared" si="190"/>
        <v>512940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87"/>
        <v>0</v>
      </c>
      <c r="H154" s="11">
        <v>0</v>
      </c>
      <c r="I154" s="146"/>
      <c r="J154" s="14"/>
      <c r="K154" s="146"/>
      <c r="L154" s="80">
        <f t="shared" si="188"/>
        <v>0</v>
      </c>
      <c r="N154" s="7">
        <f t="shared" si="189"/>
        <v>0</v>
      </c>
      <c r="O154" s="7">
        <f t="shared" si="189"/>
        <v>0</v>
      </c>
      <c r="P154" s="7">
        <f t="shared" si="189"/>
        <v>0</v>
      </c>
      <c r="Q154" s="7">
        <f t="shared" si="189"/>
        <v>0</v>
      </c>
      <c r="R154" s="80">
        <f t="shared" si="190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87"/>
        <v>448200</v>
      </c>
      <c r="H155" s="7">
        <f>(450*H19)</f>
        <v>448200</v>
      </c>
      <c r="I155" s="7"/>
      <c r="J155" s="7"/>
      <c r="K155" s="7"/>
      <c r="L155" s="80">
        <f t="shared" si="188"/>
        <v>448200</v>
      </c>
      <c r="N155" s="7">
        <f t="shared" si="189"/>
        <v>896400</v>
      </c>
      <c r="O155" s="7">
        <f t="shared" si="189"/>
        <v>0</v>
      </c>
      <c r="P155" s="7">
        <f t="shared" si="189"/>
        <v>0</v>
      </c>
      <c r="Q155" s="7">
        <f t="shared" si="189"/>
        <v>0</v>
      </c>
      <c r="R155" s="80">
        <f t="shared" si="190"/>
        <v>896400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87"/>
        <v>14460</v>
      </c>
      <c r="H156" s="7">
        <f>(240*H67)+1500</f>
        <v>13500</v>
      </c>
      <c r="I156" s="7"/>
      <c r="J156" s="7"/>
      <c r="K156" s="7"/>
      <c r="L156" s="80">
        <f t="shared" si="188"/>
        <v>13500</v>
      </c>
      <c r="N156" s="7">
        <f t="shared" si="189"/>
        <v>27960</v>
      </c>
      <c r="O156" s="7">
        <f t="shared" si="189"/>
        <v>0</v>
      </c>
      <c r="P156" s="7">
        <f t="shared" si="189"/>
        <v>0</v>
      </c>
      <c r="Q156" s="7">
        <f t="shared" si="189"/>
        <v>0</v>
      </c>
      <c r="R156" s="80">
        <f t="shared" si="190"/>
        <v>27960</v>
      </c>
    </row>
    <row r="157" spans="1:18" x14ac:dyDescent="0.35">
      <c r="A157" s="63" t="s">
        <v>104</v>
      </c>
      <c r="B157" s="7">
        <f>(28500*1.03*1.03*1.03)*0.5</f>
        <v>15571.359750000001</v>
      </c>
      <c r="C157" s="7"/>
      <c r="D157" s="7"/>
      <c r="E157" s="7"/>
      <c r="F157" s="80">
        <f t="shared" si="187"/>
        <v>15571.359750000001</v>
      </c>
      <c r="H157" s="7">
        <f>(28500*1.03*1.03*1.03)*0.5</f>
        <v>15571.359750000001</v>
      </c>
      <c r="I157" s="7"/>
      <c r="J157" s="7"/>
      <c r="K157" s="7"/>
      <c r="L157" s="80">
        <f t="shared" si="188"/>
        <v>15571.359750000001</v>
      </c>
      <c r="N157" s="7">
        <f t="shared" si="189"/>
        <v>31142.719500000003</v>
      </c>
      <c r="O157" s="7">
        <f t="shared" si="189"/>
        <v>0</v>
      </c>
      <c r="P157" s="7">
        <f t="shared" si="189"/>
        <v>0</v>
      </c>
      <c r="Q157" s="7">
        <f t="shared" si="189"/>
        <v>0</v>
      </c>
      <c r="R157" s="80">
        <f t="shared" si="190"/>
        <v>31142.719500000003</v>
      </c>
    </row>
    <row r="158" spans="1:18" x14ac:dyDescent="0.35">
      <c r="A158" s="63" t="s">
        <v>105</v>
      </c>
      <c r="B158" s="7">
        <v>5600</v>
      </c>
      <c r="C158" s="7"/>
      <c r="D158" s="7"/>
      <c r="E158" s="7"/>
      <c r="F158" s="80">
        <f t="shared" si="187"/>
        <v>5600</v>
      </c>
      <c r="H158" s="7">
        <v>5500</v>
      </c>
      <c r="I158" s="7"/>
      <c r="J158" s="7"/>
      <c r="K158" s="7"/>
      <c r="L158" s="80">
        <f t="shared" si="188"/>
        <v>5500</v>
      </c>
      <c r="N158" s="7">
        <f t="shared" si="189"/>
        <v>11100</v>
      </c>
      <c r="O158" s="7">
        <f t="shared" si="189"/>
        <v>0</v>
      </c>
      <c r="P158" s="7">
        <f t="shared" si="189"/>
        <v>0</v>
      </c>
      <c r="Q158" s="7">
        <f t="shared" si="189"/>
        <v>0</v>
      </c>
      <c r="R158" s="80">
        <f t="shared" si="190"/>
        <v>11100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87"/>
        <v>44820</v>
      </c>
      <c r="H159" s="7">
        <f>45*H19</f>
        <v>44820</v>
      </c>
      <c r="I159" s="7"/>
      <c r="J159" s="7"/>
      <c r="K159" s="7"/>
      <c r="L159" s="80">
        <f t="shared" si="188"/>
        <v>44820</v>
      </c>
      <c r="N159" s="7">
        <f t="shared" si="189"/>
        <v>89640</v>
      </c>
      <c r="O159" s="7">
        <f t="shared" si="189"/>
        <v>0</v>
      </c>
      <c r="P159" s="7">
        <f t="shared" si="189"/>
        <v>0</v>
      </c>
      <c r="Q159" s="7">
        <f t="shared" si="189"/>
        <v>0</v>
      </c>
      <c r="R159" s="80">
        <f t="shared" si="190"/>
        <v>89640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87"/>
        <v>8500</v>
      </c>
      <c r="H160" s="7">
        <v>12000</v>
      </c>
      <c r="I160" s="7"/>
      <c r="J160" s="7"/>
      <c r="K160" s="7"/>
      <c r="L160" s="80">
        <f t="shared" si="188"/>
        <v>12000</v>
      </c>
      <c r="N160" s="7">
        <f t="shared" si="189"/>
        <v>20500</v>
      </c>
      <c r="O160" s="7">
        <f t="shared" si="189"/>
        <v>0</v>
      </c>
      <c r="P160" s="7">
        <f t="shared" si="189"/>
        <v>0</v>
      </c>
      <c r="Q160" s="7">
        <f t="shared" si="189"/>
        <v>0</v>
      </c>
      <c r="R160" s="80">
        <f t="shared" si="190"/>
        <v>20500</v>
      </c>
    </row>
    <row r="161" spans="1:18" x14ac:dyDescent="0.35">
      <c r="A161" s="63" t="s">
        <v>219</v>
      </c>
      <c r="B161" s="7">
        <f>(B88+B89)*0.0125</f>
        <v>93375</v>
      </c>
      <c r="C161" s="7"/>
      <c r="D161" s="7"/>
      <c r="E161" s="7"/>
      <c r="F161" s="80">
        <f t="shared" si="187"/>
        <v>93375</v>
      </c>
      <c r="H161" s="7">
        <f>(H88+H89)*0.0125</f>
        <v>93375</v>
      </c>
      <c r="I161" s="7"/>
      <c r="J161" s="7"/>
      <c r="K161" s="7"/>
      <c r="L161" s="80">
        <f t="shared" si="188"/>
        <v>93375</v>
      </c>
      <c r="N161" s="7">
        <f t="shared" si="189"/>
        <v>186750</v>
      </c>
      <c r="O161" s="7">
        <f t="shared" si="189"/>
        <v>0</v>
      </c>
      <c r="P161" s="7">
        <f t="shared" si="189"/>
        <v>0</v>
      </c>
      <c r="Q161" s="7">
        <f t="shared" si="189"/>
        <v>0</v>
      </c>
      <c r="R161" s="80">
        <f t="shared" si="190"/>
        <v>186750</v>
      </c>
    </row>
    <row r="162" spans="1:18" x14ac:dyDescent="0.35">
      <c r="A162" s="63" t="s">
        <v>108</v>
      </c>
      <c r="B162" s="7">
        <f>(B88+B89)*0.005</f>
        <v>37350</v>
      </c>
      <c r="C162" s="7"/>
      <c r="D162" s="7"/>
      <c r="E162" s="7"/>
      <c r="F162" s="80">
        <f t="shared" si="187"/>
        <v>37350</v>
      </c>
      <c r="H162" s="7">
        <f>(H88+H89)*0.005</f>
        <v>37350</v>
      </c>
      <c r="I162" s="7"/>
      <c r="J162" s="7"/>
      <c r="K162" s="7"/>
      <c r="L162" s="80">
        <f t="shared" si="188"/>
        <v>37350</v>
      </c>
      <c r="N162" s="7">
        <f t="shared" si="189"/>
        <v>74700</v>
      </c>
      <c r="O162" s="7">
        <f t="shared" si="189"/>
        <v>0</v>
      </c>
      <c r="P162" s="7">
        <f t="shared" si="189"/>
        <v>0</v>
      </c>
      <c r="Q162" s="7">
        <f t="shared" si="189"/>
        <v>0</v>
      </c>
      <c r="R162" s="80">
        <f t="shared" si="190"/>
        <v>74700</v>
      </c>
    </row>
    <row r="163" spans="1:18" x14ac:dyDescent="0.35">
      <c r="A163" s="63" t="s">
        <v>109</v>
      </c>
      <c r="B163" s="7">
        <f>(B88+B89)*0.005</f>
        <v>37350</v>
      </c>
      <c r="C163" s="7"/>
      <c r="D163" s="7"/>
      <c r="E163" s="7"/>
      <c r="F163" s="80">
        <f t="shared" si="187"/>
        <v>37350</v>
      </c>
      <c r="H163" s="7">
        <f>(H88+H89)*0.005</f>
        <v>37350</v>
      </c>
      <c r="I163" s="7"/>
      <c r="J163" s="7"/>
      <c r="K163" s="7"/>
      <c r="L163" s="80">
        <f t="shared" si="188"/>
        <v>37350</v>
      </c>
      <c r="N163" s="7">
        <f t="shared" si="189"/>
        <v>74700</v>
      </c>
      <c r="O163" s="7">
        <f t="shared" si="189"/>
        <v>0</v>
      </c>
      <c r="P163" s="7">
        <f t="shared" si="189"/>
        <v>0</v>
      </c>
      <c r="Q163" s="7">
        <f t="shared" si="189"/>
        <v>0</v>
      </c>
      <c r="R163" s="80">
        <f t="shared" si="190"/>
        <v>74700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89"/>
        <v>0</v>
      </c>
      <c r="O164" s="7">
        <f t="shared" si="189"/>
        <v>0</v>
      </c>
      <c r="P164" s="7">
        <f t="shared" si="189"/>
        <v>0</v>
      </c>
      <c r="Q164" s="7">
        <f t="shared" si="189"/>
        <v>0</v>
      </c>
      <c r="R164" s="81"/>
    </row>
    <row r="165" spans="1:18" ht="15" thickBot="1" x14ac:dyDescent="0.4">
      <c r="A165" s="95" t="s">
        <v>111</v>
      </c>
      <c r="B165" s="92">
        <f>SUM(B152:B164)</f>
        <v>705226.35975000006</v>
      </c>
      <c r="C165" s="92">
        <f t="shared" ref="C165" si="191">SUM(C152:C164)</f>
        <v>13261.25</v>
      </c>
      <c r="D165" s="92">
        <f>SUM(D152:D164)</f>
        <v>258960</v>
      </c>
      <c r="E165" s="92">
        <f t="shared" ref="E165:F165" si="192">SUM(E152:E164)</f>
        <v>0</v>
      </c>
      <c r="F165" s="92">
        <f t="shared" si="192"/>
        <v>977447.60974999995</v>
      </c>
      <c r="H165" s="92">
        <f>SUM(H152:H164)</f>
        <v>707666.35975000006</v>
      </c>
      <c r="I165" s="92">
        <f t="shared" ref="I165" si="193">SUM(I152:I164)</f>
        <v>13261.25</v>
      </c>
      <c r="J165" s="92">
        <f>SUM(J152:J164)</f>
        <v>253980</v>
      </c>
      <c r="K165" s="92">
        <f t="shared" ref="K165:L165" si="194">SUM(K152:K164)</f>
        <v>0</v>
      </c>
      <c r="L165" s="92">
        <f t="shared" si="194"/>
        <v>974907.60974999995</v>
      </c>
      <c r="N165" s="92">
        <f>SUM(N152:N164)</f>
        <v>1412892.7195000001</v>
      </c>
      <c r="O165" s="92">
        <f t="shared" ref="O165" si="195">SUM(O152:O164)</f>
        <v>26522.5</v>
      </c>
      <c r="P165" s="92">
        <f>SUM(P152:P164)</f>
        <v>512940</v>
      </c>
      <c r="Q165" s="92">
        <f t="shared" ref="Q165:R165" si="196">SUM(Q152:Q164)</f>
        <v>0</v>
      </c>
      <c r="R165" s="92">
        <f t="shared" si="196"/>
        <v>1952355.2194999999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197">C151</f>
        <v>Weights</v>
      </c>
      <c r="D166" s="153" t="str">
        <f>D151</f>
        <v>SPED</v>
      </c>
      <c r="E166" s="153" t="str">
        <f t="shared" ref="E166:F166" si="198">E151</f>
        <v>NSLP</v>
      </c>
      <c r="F166" s="153" t="str">
        <f t="shared" si="198"/>
        <v>Mt. Rose</v>
      </c>
      <c r="H166" s="153" t="str">
        <f>H151</f>
        <v>Operating</v>
      </c>
      <c r="I166" s="153" t="str">
        <f t="shared" ref="I166" si="199">I151</f>
        <v>Weights</v>
      </c>
      <c r="J166" s="153" t="str">
        <f>J151</f>
        <v>SPED</v>
      </c>
      <c r="K166" s="153" t="str">
        <f t="shared" ref="K166:L166" si="200">K151</f>
        <v>NSLP</v>
      </c>
      <c r="L166" s="153" t="str">
        <f t="shared" si="200"/>
        <v>New Campus</v>
      </c>
      <c r="N166" s="153" t="str">
        <f>N151</f>
        <v>Operating</v>
      </c>
      <c r="O166" s="153" t="str">
        <f t="shared" ref="O166" si="201">O151</f>
        <v>Weights</v>
      </c>
      <c r="P166" s="153" t="str">
        <f>P151</f>
        <v>SPED</v>
      </c>
      <c r="Q166" s="153" t="str">
        <f t="shared" ref="Q166:R166" si="202">Q151</f>
        <v>NSLP</v>
      </c>
      <c r="R166" s="153" t="str">
        <f t="shared" si="202"/>
        <v>DANN Total</v>
      </c>
    </row>
    <row r="167" spans="1:18" x14ac:dyDescent="0.35">
      <c r="A167" s="63" t="s">
        <v>113</v>
      </c>
      <c r="B167" s="15">
        <f>'FY26'!B167*1.02</f>
        <v>18297.560577600005</v>
      </c>
      <c r="C167" s="15"/>
      <c r="D167" s="7"/>
      <c r="E167" s="7"/>
      <c r="F167" s="7">
        <f t="shared" ref="F167:F173" si="203">SUM(B167:E167)</f>
        <v>18297.560577600005</v>
      </c>
      <c r="H167" s="15">
        <f>(1320*12+(75*12))*1.03*1.02*1.03</f>
        <v>18114.655320000002</v>
      </c>
      <c r="I167" s="15"/>
      <c r="J167" s="7"/>
      <c r="K167" s="7"/>
      <c r="L167" s="7">
        <f t="shared" ref="L167:L173" si="204">SUM(H167:K167)</f>
        <v>18114.655320000002</v>
      </c>
      <c r="N167" s="7">
        <f t="shared" ref="N167:Q173" si="205">B167+H167</f>
        <v>36412.215897600006</v>
      </c>
      <c r="O167" s="7">
        <f t="shared" si="205"/>
        <v>0</v>
      </c>
      <c r="P167" s="7">
        <f t="shared" si="205"/>
        <v>0</v>
      </c>
      <c r="Q167" s="7">
        <f t="shared" si="205"/>
        <v>0</v>
      </c>
      <c r="R167" s="7">
        <f t="shared" ref="R167:R173" si="206">SUM(N167:Q167)</f>
        <v>36412.215897600006</v>
      </c>
    </row>
    <row r="168" spans="1:18" x14ac:dyDescent="0.35">
      <c r="A168" s="63" t="s">
        <v>114</v>
      </c>
      <c r="B168" s="15">
        <f>'FY26'!B168*1.02</f>
        <v>4262.8725359999999</v>
      </c>
      <c r="C168" s="15"/>
      <c r="D168" s="7"/>
      <c r="E168" s="7"/>
      <c r="F168" s="7">
        <f t="shared" si="203"/>
        <v>4262.8725359999999</v>
      </c>
      <c r="H168" s="15">
        <f>(325*12)*1.03*1.02*1.03</f>
        <v>4220.2602000000006</v>
      </c>
      <c r="I168" s="15"/>
      <c r="J168" s="7"/>
      <c r="K168" s="7"/>
      <c r="L168" s="7">
        <f t="shared" si="204"/>
        <v>4220.2602000000006</v>
      </c>
      <c r="N168" s="7">
        <f t="shared" si="205"/>
        <v>8483.1327359999996</v>
      </c>
      <c r="O168" s="7">
        <f t="shared" si="205"/>
        <v>0</v>
      </c>
      <c r="P168" s="7">
        <f t="shared" si="205"/>
        <v>0</v>
      </c>
      <c r="Q168" s="7">
        <f t="shared" si="205"/>
        <v>0</v>
      </c>
      <c r="R168" s="7">
        <f t="shared" si="206"/>
        <v>8483.1327359999996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3"/>
        <v>0</v>
      </c>
      <c r="H169" s="7"/>
      <c r="I169" s="7"/>
      <c r="J169" s="7"/>
      <c r="K169" s="7"/>
      <c r="L169" s="7">
        <f t="shared" si="204"/>
        <v>0</v>
      </c>
      <c r="N169" s="7">
        <f t="shared" si="205"/>
        <v>0</v>
      </c>
      <c r="O169" s="7">
        <f t="shared" si="205"/>
        <v>0</v>
      </c>
      <c r="P169" s="7">
        <f t="shared" si="205"/>
        <v>0</v>
      </c>
      <c r="Q169" s="7">
        <f t="shared" si="205"/>
        <v>0</v>
      </c>
      <c r="R169" s="7">
        <f t="shared" si="206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3"/>
        <v>800</v>
      </c>
      <c r="H170" s="7">
        <v>725</v>
      </c>
      <c r="I170" s="7"/>
      <c r="J170" s="7"/>
      <c r="K170" s="7"/>
      <c r="L170" s="7">
        <f t="shared" si="204"/>
        <v>725</v>
      </c>
      <c r="N170" s="7">
        <f t="shared" si="205"/>
        <v>1525</v>
      </c>
      <c r="O170" s="7">
        <f t="shared" si="205"/>
        <v>0</v>
      </c>
      <c r="P170" s="7">
        <f t="shared" si="205"/>
        <v>0</v>
      </c>
      <c r="Q170" s="7">
        <f t="shared" si="205"/>
        <v>0</v>
      </c>
      <c r="R170" s="7">
        <f t="shared" si="206"/>
        <v>1525</v>
      </c>
    </row>
    <row r="171" spans="1:18" x14ac:dyDescent="0.35">
      <c r="A171" s="63" t="s">
        <v>117</v>
      </c>
      <c r="B171" s="7">
        <v>5200</v>
      </c>
      <c r="C171" s="7"/>
      <c r="D171" s="7"/>
      <c r="E171" s="7"/>
      <c r="F171" s="7">
        <f t="shared" si="203"/>
        <v>5200</v>
      </c>
      <c r="H171" s="7">
        <v>5200</v>
      </c>
      <c r="I171" s="7"/>
      <c r="J171" s="7"/>
      <c r="K171" s="7"/>
      <c r="L171" s="7">
        <f t="shared" si="204"/>
        <v>5200</v>
      </c>
      <c r="N171" s="7">
        <f t="shared" si="205"/>
        <v>10400</v>
      </c>
      <c r="O171" s="7">
        <f t="shared" si="205"/>
        <v>0</v>
      </c>
      <c r="P171" s="7">
        <f t="shared" si="205"/>
        <v>0</v>
      </c>
      <c r="Q171" s="7">
        <f t="shared" si="205"/>
        <v>0</v>
      </c>
      <c r="R171" s="7">
        <f t="shared" si="206"/>
        <v>10400</v>
      </c>
    </row>
    <row r="172" spans="1:18" x14ac:dyDescent="0.35">
      <c r="A172" s="63" t="s">
        <v>118</v>
      </c>
      <c r="B172" s="15">
        <f>30000*1.03*1.03*1.03</f>
        <v>32781.81</v>
      </c>
      <c r="C172" s="7"/>
      <c r="D172" s="7"/>
      <c r="E172" s="7"/>
      <c r="F172" s="7">
        <f t="shared" si="203"/>
        <v>32781.81</v>
      </c>
      <c r="H172" s="15">
        <f>30000*1.03*1.03*1.03</f>
        <v>32781.81</v>
      </c>
      <c r="I172" s="7"/>
      <c r="J172" s="7"/>
      <c r="K172" s="7"/>
      <c r="L172" s="7">
        <f t="shared" si="204"/>
        <v>32781.81</v>
      </c>
      <c r="N172" s="7">
        <f t="shared" si="205"/>
        <v>65563.62</v>
      </c>
      <c r="O172" s="7">
        <f t="shared" si="205"/>
        <v>0</v>
      </c>
      <c r="P172" s="7">
        <f t="shared" si="205"/>
        <v>0</v>
      </c>
      <c r="Q172" s="7">
        <f t="shared" si="205"/>
        <v>0</v>
      </c>
      <c r="R172" s="7">
        <f t="shared" si="206"/>
        <v>65563.62</v>
      </c>
    </row>
    <row r="173" spans="1:18" ht="15" thickBot="1" x14ac:dyDescent="0.4">
      <c r="A173" s="63" t="s">
        <v>119</v>
      </c>
      <c r="B173" s="7">
        <f>3200*1.03*1.03*1.03</f>
        <v>3496.7264</v>
      </c>
      <c r="C173" s="7"/>
      <c r="D173" s="7"/>
      <c r="E173" s="7"/>
      <c r="F173" s="7">
        <f t="shared" si="203"/>
        <v>3496.7264</v>
      </c>
      <c r="H173" s="7">
        <f>3200*1.03*1.03*1.03</f>
        <v>3496.7264</v>
      </c>
      <c r="I173" s="7"/>
      <c r="J173" s="7"/>
      <c r="K173" s="7"/>
      <c r="L173" s="7">
        <f t="shared" si="204"/>
        <v>3496.7264</v>
      </c>
      <c r="N173" s="7">
        <f t="shared" si="205"/>
        <v>6993.4528</v>
      </c>
      <c r="O173" s="7">
        <f t="shared" si="205"/>
        <v>0</v>
      </c>
      <c r="P173" s="7">
        <f t="shared" si="205"/>
        <v>0</v>
      </c>
      <c r="Q173" s="7">
        <f t="shared" si="205"/>
        <v>0</v>
      </c>
      <c r="R173" s="7">
        <f t="shared" si="206"/>
        <v>6993.4528</v>
      </c>
    </row>
    <row r="174" spans="1:18" ht="15" thickBot="1" x14ac:dyDescent="0.4">
      <c r="A174" s="95" t="s">
        <v>120</v>
      </c>
      <c r="B174" s="92">
        <f>SUM(B167:B173)</f>
        <v>64838.969513600001</v>
      </c>
      <c r="C174" s="92">
        <f t="shared" ref="C174:F174" si="207">SUM(C167:C173)</f>
        <v>0</v>
      </c>
      <c r="D174" s="92">
        <f t="shared" si="207"/>
        <v>0</v>
      </c>
      <c r="E174" s="92">
        <f t="shared" si="207"/>
        <v>0</v>
      </c>
      <c r="F174" s="92">
        <f t="shared" si="207"/>
        <v>64838.969513600001</v>
      </c>
      <c r="H174" s="92">
        <f>SUM(H167:H173)</f>
        <v>64538.45192</v>
      </c>
      <c r="I174" s="92">
        <f t="shared" ref="I174:L174" si="208">SUM(I167:I173)</f>
        <v>0</v>
      </c>
      <c r="J174" s="92">
        <f t="shared" si="208"/>
        <v>0</v>
      </c>
      <c r="K174" s="92">
        <f t="shared" si="208"/>
        <v>0</v>
      </c>
      <c r="L174" s="92">
        <f t="shared" si="208"/>
        <v>64538.45192</v>
      </c>
      <c r="N174" s="92">
        <f>SUM(N167:N173)</f>
        <v>129377.4214336</v>
      </c>
      <c r="O174" s="92">
        <f t="shared" ref="O174:R174" si="209">SUM(O167:O173)</f>
        <v>0</v>
      </c>
      <c r="P174" s="92">
        <f t="shared" si="209"/>
        <v>0</v>
      </c>
      <c r="Q174" s="92">
        <f t="shared" si="209"/>
        <v>0</v>
      </c>
      <c r="R174" s="92">
        <f t="shared" si="209"/>
        <v>129377.4214336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'FY26'!B176*1.06</f>
        <v>15275.971216000005</v>
      </c>
      <c r="C176" s="15"/>
      <c r="D176" s="15"/>
      <c r="E176" s="15"/>
      <c r="F176" s="15">
        <f>SUM(B176:E176)</f>
        <v>15275.971216000005</v>
      </c>
      <c r="H176" s="15">
        <f>(37525*1.06*1.06*1.06)*0.33</f>
        <v>14748.648882000001</v>
      </c>
      <c r="I176" s="15"/>
      <c r="J176" s="15"/>
      <c r="K176" s="15"/>
      <c r="L176" s="15">
        <f>SUM(H176:K176)</f>
        <v>14748.648882000001</v>
      </c>
      <c r="N176" s="7">
        <f t="shared" ref="N176:Q178" si="210">B176+H176</f>
        <v>30024.620098000007</v>
      </c>
      <c r="O176" s="7">
        <f t="shared" si="210"/>
        <v>0</v>
      </c>
      <c r="P176" s="7">
        <f t="shared" si="210"/>
        <v>0</v>
      </c>
      <c r="Q176" s="7">
        <f t="shared" si="210"/>
        <v>0</v>
      </c>
      <c r="R176" s="15">
        <f>SUM(N176:Q176)</f>
        <v>30024.620098000007</v>
      </c>
    </row>
    <row r="177" spans="1:18" x14ac:dyDescent="0.35">
      <c r="A177" s="63" t="s">
        <v>122</v>
      </c>
      <c r="B177" s="15">
        <f>'FY26'!B177*1.06</f>
        <v>13887.246560000001</v>
      </c>
      <c r="C177" s="7"/>
      <c r="D177" s="7"/>
      <c r="E177" s="7"/>
      <c r="F177" s="15">
        <f>SUM(B177:E177)</f>
        <v>13887.246560000001</v>
      </c>
      <c r="H177" s="15">
        <f>(37525*1.06*1.06*1.06)*0.33</f>
        <v>14748.648882000001</v>
      </c>
      <c r="I177" s="7"/>
      <c r="J177" s="7"/>
      <c r="K177" s="7"/>
      <c r="L177" s="15">
        <f>SUM(H177:K177)</f>
        <v>14748.648882000001</v>
      </c>
      <c r="N177" s="7">
        <f t="shared" si="210"/>
        <v>28635.895442000001</v>
      </c>
      <c r="O177" s="7">
        <f t="shared" si="210"/>
        <v>0</v>
      </c>
      <c r="P177" s="7">
        <f t="shared" si="210"/>
        <v>0</v>
      </c>
      <c r="Q177" s="7">
        <f t="shared" si="210"/>
        <v>0</v>
      </c>
      <c r="R177" s="15">
        <f>SUM(N177:Q177)</f>
        <v>28635.895442000001</v>
      </c>
    </row>
    <row r="178" spans="1:18" ht="15" thickBot="1" x14ac:dyDescent="0.4">
      <c r="A178" s="63" t="s">
        <v>123</v>
      </c>
      <c r="B178" s="15">
        <f>'FY26'!B178*1.06</f>
        <v>24302.681480000003</v>
      </c>
      <c r="C178" s="7"/>
      <c r="D178" s="7"/>
      <c r="E178" s="7"/>
      <c r="F178" s="15">
        <f>SUM(B178:E178)</f>
        <v>24302.681480000003</v>
      </c>
      <c r="H178" s="15">
        <f>(37525*1.06*1.06*1.06)*0.33</f>
        <v>14748.648882000001</v>
      </c>
      <c r="I178" s="7"/>
      <c r="J178" s="7"/>
      <c r="K178" s="7"/>
      <c r="L178" s="15">
        <f>SUM(H178:K178)</f>
        <v>14748.648882000001</v>
      </c>
      <c r="N178" s="7">
        <f t="shared" si="210"/>
        <v>39051.330362000008</v>
      </c>
      <c r="O178" s="7">
        <f t="shared" si="210"/>
        <v>0</v>
      </c>
      <c r="P178" s="7">
        <f t="shared" si="210"/>
        <v>0</v>
      </c>
      <c r="Q178" s="7">
        <f t="shared" si="210"/>
        <v>0</v>
      </c>
      <c r="R178" s="15">
        <f>SUM(N178:Q178)</f>
        <v>39051.330362000008</v>
      </c>
    </row>
    <row r="179" spans="1:18" ht="15" thickBot="1" x14ac:dyDescent="0.4">
      <c r="A179" s="95" t="s">
        <v>124</v>
      </c>
      <c r="B179" s="92">
        <f>SUM(B176:B178)</f>
        <v>53465.899256000004</v>
      </c>
      <c r="C179" s="92">
        <f t="shared" ref="C179:F179" si="211">SUM(C176:C178)</f>
        <v>0</v>
      </c>
      <c r="D179" s="92">
        <f t="shared" si="211"/>
        <v>0</v>
      </c>
      <c r="E179" s="92">
        <f t="shared" si="211"/>
        <v>0</v>
      </c>
      <c r="F179" s="92">
        <f t="shared" si="211"/>
        <v>53465.899256000004</v>
      </c>
      <c r="H179" s="92">
        <f>SUM(H176:H178)</f>
        <v>44245.946646000004</v>
      </c>
      <c r="I179" s="92">
        <f t="shared" ref="I179:L179" si="212">SUM(I176:I178)</f>
        <v>0</v>
      </c>
      <c r="J179" s="92">
        <f t="shared" si="212"/>
        <v>0</v>
      </c>
      <c r="K179" s="92">
        <f t="shared" si="212"/>
        <v>0</v>
      </c>
      <c r="L179" s="92">
        <f t="shared" si="212"/>
        <v>44245.946646000004</v>
      </c>
      <c r="N179" s="92">
        <f>SUM(N176:N178)</f>
        <v>97711.845902000015</v>
      </c>
      <c r="O179" s="92">
        <f t="shared" ref="O179:R179" si="213">SUM(O176:O178)</f>
        <v>0</v>
      </c>
      <c r="P179" s="92">
        <f t="shared" si="213"/>
        <v>0</v>
      </c>
      <c r="Q179" s="92">
        <f t="shared" si="213"/>
        <v>0</v>
      </c>
      <c r="R179" s="92">
        <f t="shared" si="213"/>
        <v>97711.845902000015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4">C1</f>
        <v>Weights</v>
      </c>
      <c r="D180" s="96" t="str">
        <f>D1</f>
        <v>SPED</v>
      </c>
      <c r="E180" s="96" t="str">
        <f t="shared" ref="E180:F180" si="215">E1</f>
        <v>NSLP</v>
      </c>
      <c r="F180" s="96" t="str">
        <f t="shared" si="215"/>
        <v>Mt. Rose</v>
      </c>
      <c r="H180" s="96" t="str">
        <f>H1</f>
        <v>Operating</v>
      </c>
      <c r="I180" s="96" t="str">
        <f t="shared" ref="I180" si="216">I1</f>
        <v>Weights</v>
      </c>
      <c r="J180" s="96" t="str">
        <f>J1</f>
        <v>SPED</v>
      </c>
      <c r="K180" s="96" t="str">
        <f t="shared" ref="K180:L180" si="217">K1</f>
        <v>NSLP</v>
      </c>
      <c r="L180" s="96" t="str">
        <f t="shared" si="217"/>
        <v>New Campus</v>
      </c>
      <c r="N180" s="96" t="str">
        <f>N1</f>
        <v>Operating</v>
      </c>
      <c r="O180" s="96" t="str">
        <f t="shared" ref="O180" si="218">O1</f>
        <v>Weights</v>
      </c>
      <c r="P180" s="96" t="str">
        <f>P1</f>
        <v>SPED</v>
      </c>
      <c r="Q180" s="96" t="str">
        <f t="shared" ref="Q180:R180" si="219">Q1</f>
        <v>NSLP</v>
      </c>
      <c r="R180" s="96" t="str">
        <f t="shared" si="219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((B19*E25)*3.65*180)+1000</f>
        <v>66437.200000000012</v>
      </c>
      <c r="F181" s="14">
        <f t="shared" ref="F181:F189" si="220">SUM(B181:E181)</f>
        <v>66437.200000000012</v>
      </c>
      <c r="H181" s="146">
        <v>0</v>
      </c>
      <c r="I181" s="146"/>
      <c r="J181" s="146"/>
      <c r="K181" s="14">
        <f>((H19*K25)*3.6*180)+1000</f>
        <v>355974.40000000008</v>
      </c>
      <c r="L181" s="14">
        <f t="shared" ref="L181:L189" si="221">SUM(H181:K181)</f>
        <v>355974.40000000008</v>
      </c>
      <c r="N181" s="7">
        <f t="shared" ref="N181:Q189" si="222">B181+H181</f>
        <v>0</v>
      </c>
      <c r="O181" s="7">
        <f t="shared" si="222"/>
        <v>0</v>
      </c>
      <c r="P181" s="7">
        <f t="shared" si="222"/>
        <v>0</v>
      </c>
      <c r="Q181" s="7">
        <f t="shared" si="222"/>
        <v>422411.60000000009</v>
      </c>
      <c r="R181" s="14">
        <f t="shared" ref="R181:R189" si="223">SUM(N181:Q181)</f>
        <v>422411.60000000009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0"/>
        <v>1500</v>
      </c>
      <c r="H182" s="7">
        <v>3500</v>
      </c>
      <c r="I182" s="7"/>
      <c r="J182" s="7"/>
      <c r="K182" s="7"/>
      <c r="L182" s="14">
        <f t="shared" si="221"/>
        <v>3500</v>
      </c>
      <c r="N182" s="7">
        <f t="shared" si="222"/>
        <v>5000</v>
      </c>
      <c r="O182" s="7">
        <f t="shared" si="222"/>
        <v>0</v>
      </c>
      <c r="P182" s="7">
        <f t="shared" si="222"/>
        <v>0</v>
      </c>
      <c r="Q182" s="7">
        <f t="shared" si="222"/>
        <v>0</v>
      </c>
      <c r="R182" s="14">
        <f t="shared" si="223"/>
        <v>5000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0"/>
        <v>1250</v>
      </c>
      <c r="H183" s="7">
        <v>1250</v>
      </c>
      <c r="I183" s="7"/>
      <c r="J183" s="7"/>
      <c r="K183" s="7"/>
      <c r="L183" s="14">
        <f t="shared" si="221"/>
        <v>1250</v>
      </c>
      <c r="N183" s="7">
        <f t="shared" si="222"/>
        <v>2500</v>
      </c>
      <c r="O183" s="7">
        <f t="shared" si="222"/>
        <v>0</v>
      </c>
      <c r="P183" s="7">
        <f t="shared" si="222"/>
        <v>0</v>
      </c>
      <c r="Q183" s="7">
        <f t="shared" si="222"/>
        <v>0</v>
      </c>
      <c r="R183" s="14">
        <f t="shared" si="223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0"/>
        <v>750</v>
      </c>
      <c r="H184" s="7">
        <f>75*10</f>
        <v>750</v>
      </c>
      <c r="I184" s="7"/>
      <c r="J184" s="7"/>
      <c r="K184" s="7"/>
      <c r="L184" s="14">
        <f t="shared" si="221"/>
        <v>750</v>
      </c>
      <c r="N184" s="7">
        <f t="shared" si="222"/>
        <v>1500</v>
      </c>
      <c r="O184" s="7">
        <f t="shared" si="222"/>
        <v>0</v>
      </c>
      <c r="P184" s="7">
        <f t="shared" si="222"/>
        <v>0</v>
      </c>
      <c r="Q184" s="7">
        <f t="shared" si="222"/>
        <v>0</v>
      </c>
      <c r="R184" s="14">
        <f t="shared" si="223"/>
        <v>1500</v>
      </c>
    </row>
    <row r="185" spans="1:18" x14ac:dyDescent="0.35">
      <c r="A185" s="63" t="s">
        <v>130</v>
      </c>
      <c r="B185" s="15">
        <v>12000</v>
      </c>
      <c r="C185" s="15"/>
      <c r="D185" s="15"/>
      <c r="E185" s="15"/>
      <c r="F185" s="14">
        <f t="shared" si="220"/>
        <v>12000</v>
      </c>
      <c r="H185" s="15">
        <v>8500</v>
      </c>
      <c r="I185" s="15"/>
      <c r="J185" s="15"/>
      <c r="K185" s="15"/>
      <c r="L185" s="14">
        <f t="shared" si="221"/>
        <v>8500</v>
      </c>
      <c r="N185" s="7">
        <f t="shared" si="222"/>
        <v>20500</v>
      </c>
      <c r="O185" s="7">
        <f t="shared" si="222"/>
        <v>0</v>
      </c>
      <c r="P185" s="7">
        <f t="shared" si="222"/>
        <v>0</v>
      </c>
      <c r="Q185" s="7">
        <f t="shared" si="222"/>
        <v>0</v>
      </c>
      <c r="R185" s="14">
        <f t="shared" si="223"/>
        <v>20500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0"/>
        <v>0</v>
      </c>
      <c r="H186" s="159"/>
      <c r="I186" s="152"/>
      <c r="J186" s="152"/>
      <c r="K186" s="152"/>
      <c r="L186" s="14">
        <f t="shared" si="221"/>
        <v>0</v>
      </c>
      <c r="N186" s="7">
        <f t="shared" si="222"/>
        <v>0</v>
      </c>
      <c r="O186" s="7">
        <f t="shared" si="222"/>
        <v>0</v>
      </c>
      <c r="P186" s="7">
        <f t="shared" si="222"/>
        <v>0</v>
      </c>
      <c r="Q186" s="7">
        <f t="shared" si="222"/>
        <v>0</v>
      </c>
      <c r="R186" s="14">
        <f t="shared" si="223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0"/>
        <v>0</v>
      </c>
      <c r="H187" s="159"/>
      <c r="I187" s="15"/>
      <c r="J187" s="15"/>
      <c r="K187" s="15"/>
      <c r="L187" s="14">
        <f t="shared" si="221"/>
        <v>0</v>
      </c>
      <c r="N187" s="7">
        <f t="shared" si="222"/>
        <v>0</v>
      </c>
      <c r="O187" s="7">
        <f t="shared" si="222"/>
        <v>0</v>
      </c>
      <c r="P187" s="7">
        <f t="shared" si="222"/>
        <v>0</v>
      </c>
      <c r="Q187" s="7">
        <f t="shared" si="222"/>
        <v>0</v>
      </c>
      <c r="R187" s="14">
        <f t="shared" si="223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0"/>
        <v>0</v>
      </c>
      <c r="H188" s="159"/>
      <c r="I188" s="15"/>
      <c r="J188" s="15"/>
      <c r="K188" s="15"/>
      <c r="L188" s="14">
        <f t="shared" si="221"/>
        <v>0</v>
      </c>
      <c r="N188" s="7">
        <f t="shared" si="222"/>
        <v>0</v>
      </c>
      <c r="O188" s="7">
        <f t="shared" si="222"/>
        <v>0</v>
      </c>
      <c r="P188" s="7">
        <f t="shared" si="222"/>
        <v>0</v>
      </c>
      <c r="Q188" s="7">
        <f t="shared" si="222"/>
        <v>0</v>
      </c>
      <c r="R188" s="14">
        <f t="shared" si="223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0"/>
        <v>1750</v>
      </c>
      <c r="H189" s="7">
        <v>1750</v>
      </c>
      <c r="I189" s="7"/>
      <c r="J189" s="7"/>
      <c r="K189" s="7"/>
      <c r="L189" s="14">
        <f t="shared" si="221"/>
        <v>1750</v>
      </c>
      <c r="N189" s="7">
        <f t="shared" si="222"/>
        <v>3500</v>
      </c>
      <c r="O189" s="7">
        <f t="shared" si="222"/>
        <v>0</v>
      </c>
      <c r="P189" s="7">
        <f t="shared" si="222"/>
        <v>0</v>
      </c>
      <c r="Q189" s="7">
        <f t="shared" si="222"/>
        <v>0</v>
      </c>
      <c r="R189" s="14">
        <f t="shared" si="223"/>
        <v>3500</v>
      </c>
    </row>
    <row r="190" spans="1:18" ht="15" thickBot="1" x14ac:dyDescent="0.4">
      <c r="A190" s="95" t="s">
        <v>135</v>
      </c>
      <c r="B190" s="92">
        <f>SUM(B181:B189)</f>
        <v>17250</v>
      </c>
      <c r="C190" s="92">
        <f t="shared" ref="C190:F190" si="224">SUM(C181:C189)</f>
        <v>0</v>
      </c>
      <c r="D190" s="92">
        <f t="shared" si="224"/>
        <v>0</v>
      </c>
      <c r="E190" s="92">
        <f t="shared" si="224"/>
        <v>66437.200000000012</v>
      </c>
      <c r="F190" s="92">
        <f t="shared" si="224"/>
        <v>83687.200000000012</v>
      </c>
      <c r="H190" s="92">
        <f>SUM(H181:H189)</f>
        <v>15750</v>
      </c>
      <c r="I190" s="92">
        <f t="shared" ref="I190:L190" si="225">SUM(I181:I189)</f>
        <v>0</v>
      </c>
      <c r="J190" s="92">
        <f t="shared" si="225"/>
        <v>0</v>
      </c>
      <c r="K190" s="92">
        <f t="shared" si="225"/>
        <v>355974.40000000008</v>
      </c>
      <c r="L190" s="92">
        <f t="shared" si="225"/>
        <v>371724.40000000008</v>
      </c>
      <c r="N190" s="92">
        <f>SUM(N181:N189)</f>
        <v>33000</v>
      </c>
      <c r="O190" s="92">
        <f t="shared" ref="O190:R190" si="226">SUM(O181:O189)</f>
        <v>0</v>
      </c>
      <c r="P190" s="92">
        <f t="shared" si="226"/>
        <v>0</v>
      </c>
      <c r="Q190" s="92">
        <f t="shared" si="226"/>
        <v>422411.60000000009</v>
      </c>
      <c r="R190" s="92">
        <f t="shared" si="226"/>
        <v>455411.60000000009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27">C180</f>
        <v>Weights</v>
      </c>
      <c r="D191" s="77" t="str">
        <f>D180</f>
        <v>SPED</v>
      </c>
      <c r="E191" s="77" t="str">
        <f t="shared" ref="E191:F191" si="228">E180</f>
        <v>NSLP</v>
      </c>
      <c r="F191" s="77" t="str">
        <f t="shared" si="228"/>
        <v>Mt. Rose</v>
      </c>
      <c r="H191" s="77" t="str">
        <f>H180</f>
        <v>Operating</v>
      </c>
      <c r="I191" s="77" t="str">
        <f t="shared" ref="I191" si="229">I180</f>
        <v>Weights</v>
      </c>
      <c r="J191" s="77" t="str">
        <f>J180</f>
        <v>SPED</v>
      </c>
      <c r="K191" s="77" t="str">
        <f t="shared" ref="K191:L191" si="230">K180</f>
        <v>NSLP</v>
      </c>
      <c r="L191" s="77" t="str">
        <f t="shared" si="230"/>
        <v>New Campus</v>
      </c>
      <c r="N191" s="77" t="str">
        <f>N180</f>
        <v>Operating</v>
      </c>
      <c r="O191" s="77" t="str">
        <f t="shared" ref="O191" si="231">O180</f>
        <v>Weights</v>
      </c>
      <c r="P191" s="77" t="str">
        <f>P180</f>
        <v>SPED</v>
      </c>
      <c r="Q191" s="77" t="str">
        <f t="shared" ref="Q191:R191" si="232">Q180</f>
        <v>NSLP</v>
      </c>
      <c r="R191" s="77" t="str">
        <f t="shared" si="232"/>
        <v>DANN Total</v>
      </c>
    </row>
    <row r="192" spans="1:18" x14ac:dyDescent="0.35">
      <c r="A192" s="63" t="s">
        <v>137</v>
      </c>
      <c r="B192" s="62">
        <f>'FY26'!B192*1.03</f>
        <v>67530.528599999991</v>
      </c>
      <c r="C192" s="62"/>
      <c r="D192" s="62"/>
      <c r="E192" s="62"/>
      <c r="F192" s="62">
        <f t="shared" ref="F192:F202" si="233">SUM(B192:E192)</f>
        <v>67530.528599999991</v>
      </c>
      <c r="H192" s="62">
        <f>(3675*12)*1.04*1.04*1.04*1.04</f>
        <v>51590.76249600001</v>
      </c>
      <c r="I192" s="62"/>
      <c r="J192" s="62"/>
      <c r="K192" s="62"/>
      <c r="L192" s="62">
        <f t="shared" ref="L192:L202" si="234">SUM(H192:K192)</f>
        <v>51590.76249600001</v>
      </c>
      <c r="N192" s="7">
        <f t="shared" ref="N192:Q202" si="235">B192+H192</f>
        <v>119121.291096</v>
      </c>
      <c r="O192" s="7">
        <f t="shared" si="235"/>
        <v>0</v>
      </c>
      <c r="P192" s="7">
        <f t="shared" si="235"/>
        <v>0</v>
      </c>
      <c r="Q192" s="7">
        <f t="shared" si="235"/>
        <v>0</v>
      </c>
      <c r="R192" s="62">
        <f t="shared" ref="R192:R202" si="236">SUM(N192:Q192)</f>
        <v>119121.291096</v>
      </c>
    </row>
    <row r="193" spans="1:18" x14ac:dyDescent="0.35">
      <c r="A193" s="63" t="s">
        <v>138</v>
      </c>
      <c r="B193" s="62">
        <f>'FY26'!B193*1.03</f>
        <v>4276.9334780000008</v>
      </c>
      <c r="C193" s="15"/>
      <c r="D193" s="15"/>
      <c r="E193" s="15"/>
      <c r="F193" s="62">
        <f t="shared" si="233"/>
        <v>4276.9334780000008</v>
      </c>
      <c r="H193" s="15">
        <v>0</v>
      </c>
      <c r="I193" s="15"/>
      <c r="J193" s="15"/>
      <c r="K193" s="15"/>
      <c r="L193" s="62">
        <f t="shared" si="234"/>
        <v>0</v>
      </c>
      <c r="N193" s="7">
        <f t="shared" si="235"/>
        <v>4276.9334780000008</v>
      </c>
      <c r="O193" s="7">
        <f t="shared" si="235"/>
        <v>0</v>
      </c>
      <c r="P193" s="7">
        <f t="shared" si="235"/>
        <v>0</v>
      </c>
      <c r="Q193" s="7">
        <f t="shared" si="235"/>
        <v>0</v>
      </c>
      <c r="R193" s="62">
        <f t="shared" si="236"/>
        <v>4276.9334780000008</v>
      </c>
    </row>
    <row r="194" spans="1:18" x14ac:dyDescent="0.35">
      <c r="A194" s="63" t="s">
        <v>139</v>
      </c>
      <c r="B194" s="62">
        <f>'FY26'!B194*1.03</f>
        <v>6753.0528600000016</v>
      </c>
      <c r="C194" s="7"/>
      <c r="D194" s="7"/>
      <c r="E194" s="7"/>
      <c r="F194" s="62">
        <f t="shared" si="233"/>
        <v>6753.0528600000016</v>
      </c>
      <c r="H194" s="7">
        <f>(350*12)*1.04*1.04*1.04*1.04</f>
        <v>4913.405952000001</v>
      </c>
      <c r="I194" s="7"/>
      <c r="J194" s="7"/>
      <c r="K194" s="7"/>
      <c r="L194" s="62">
        <f t="shared" si="234"/>
        <v>4913.405952000001</v>
      </c>
      <c r="N194" s="7">
        <f t="shared" si="235"/>
        <v>11666.458812000003</v>
      </c>
      <c r="O194" s="7">
        <f t="shared" si="235"/>
        <v>0</v>
      </c>
      <c r="P194" s="7">
        <f t="shared" si="235"/>
        <v>0</v>
      </c>
      <c r="Q194" s="7">
        <f t="shared" si="235"/>
        <v>0</v>
      </c>
      <c r="R194" s="62">
        <f t="shared" si="236"/>
        <v>11666.458812000003</v>
      </c>
    </row>
    <row r="195" spans="1:18" x14ac:dyDescent="0.35">
      <c r="A195" s="63" t="s">
        <v>140</v>
      </c>
      <c r="B195" s="62">
        <f>'FY26'!B195*1.03</f>
        <v>27012.211440000006</v>
      </c>
      <c r="C195" s="7"/>
      <c r="D195" s="7"/>
      <c r="E195" s="7"/>
      <c r="F195" s="62">
        <f t="shared" si="233"/>
        <v>27012.211440000006</v>
      </c>
      <c r="H195" s="7">
        <f>((165*12)+(845*12)+3500)*1.04*1.04*1.04*1.04</f>
        <v>18273.190707200003</v>
      </c>
      <c r="I195" s="7"/>
      <c r="J195" s="7"/>
      <c r="K195" s="7"/>
      <c r="L195" s="62">
        <f t="shared" si="234"/>
        <v>18273.190707200003</v>
      </c>
      <c r="N195" s="7">
        <f t="shared" si="235"/>
        <v>45285.402147200009</v>
      </c>
      <c r="O195" s="7">
        <f t="shared" si="235"/>
        <v>0</v>
      </c>
      <c r="P195" s="7">
        <f t="shared" si="235"/>
        <v>0</v>
      </c>
      <c r="Q195" s="7">
        <f t="shared" si="235"/>
        <v>0</v>
      </c>
      <c r="R195" s="62">
        <f t="shared" si="236"/>
        <v>45285.402147200009</v>
      </c>
    </row>
    <row r="196" spans="1:18" x14ac:dyDescent="0.35">
      <c r="A196" s="63" t="s">
        <v>141</v>
      </c>
      <c r="B196" s="62">
        <f>'FY26'!B196*1.03</f>
        <v>7878.56167</v>
      </c>
      <c r="C196" s="7"/>
      <c r="D196" s="7"/>
      <c r="E196" s="7"/>
      <c r="F196" s="62">
        <f t="shared" si="233"/>
        <v>7878.56167</v>
      </c>
      <c r="H196" s="7">
        <f>((270*12)+(105*12)+2500)*1.03*1.03*1.03*1.04</f>
        <v>7955.0525600000001</v>
      </c>
      <c r="I196" s="7"/>
      <c r="J196" s="7"/>
      <c r="K196" s="7"/>
      <c r="L196" s="62">
        <f t="shared" si="234"/>
        <v>7955.0525600000001</v>
      </c>
      <c r="N196" s="7">
        <f t="shared" si="235"/>
        <v>15833.614229999999</v>
      </c>
      <c r="O196" s="7">
        <f t="shared" si="235"/>
        <v>0</v>
      </c>
      <c r="P196" s="7">
        <f t="shared" si="235"/>
        <v>0</v>
      </c>
      <c r="Q196" s="7">
        <f t="shared" si="235"/>
        <v>0</v>
      </c>
      <c r="R196" s="62">
        <f t="shared" si="236"/>
        <v>15833.614229999999</v>
      </c>
    </row>
    <row r="197" spans="1:18" x14ac:dyDescent="0.35">
      <c r="A197" s="63" t="s">
        <v>142</v>
      </c>
      <c r="B197" s="62">
        <f>'FY26'!B197*1.03</f>
        <v>122267.62365849201</v>
      </c>
      <c r="C197" s="11"/>
      <c r="D197" s="11"/>
      <c r="E197" s="11"/>
      <c r="F197" s="62">
        <f t="shared" si="233"/>
        <v>122267.62365849201</v>
      </c>
      <c r="G197" s="198"/>
      <c r="H197" s="15">
        <f>B197</f>
        <v>122267.62365849201</v>
      </c>
      <c r="I197" s="11"/>
      <c r="J197" s="11"/>
      <c r="K197" s="11"/>
      <c r="L197" s="62">
        <f t="shared" si="234"/>
        <v>122267.62365849201</v>
      </c>
      <c r="N197" s="7">
        <f t="shared" si="235"/>
        <v>244535.24731698402</v>
      </c>
      <c r="O197" s="7">
        <f t="shared" si="235"/>
        <v>0</v>
      </c>
      <c r="P197" s="7">
        <f t="shared" si="235"/>
        <v>0</v>
      </c>
      <c r="Q197" s="7">
        <f t="shared" si="235"/>
        <v>0</v>
      </c>
      <c r="R197" s="62">
        <f t="shared" si="236"/>
        <v>244535.24731698402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3"/>
        <v>31872</v>
      </c>
      <c r="H198" s="7">
        <f>32*H5</f>
        <v>31872</v>
      </c>
      <c r="I198" s="7"/>
      <c r="J198" s="7"/>
      <c r="K198" s="7"/>
      <c r="L198" s="62">
        <f t="shared" si="234"/>
        <v>31872</v>
      </c>
      <c r="N198" s="7">
        <f t="shared" si="235"/>
        <v>63744</v>
      </c>
      <c r="O198" s="7">
        <f t="shared" si="235"/>
        <v>0</v>
      </c>
      <c r="P198" s="7">
        <f t="shared" si="235"/>
        <v>0</v>
      </c>
      <c r="Q198" s="7">
        <f t="shared" si="235"/>
        <v>0</v>
      </c>
      <c r="R198" s="62">
        <f t="shared" si="236"/>
        <v>63744</v>
      </c>
    </row>
    <row r="199" spans="1:18" x14ac:dyDescent="0.35">
      <c r="A199" s="63" t="s">
        <v>145</v>
      </c>
      <c r="B199" s="7">
        <f>30000+5000+5000</f>
        <v>40000</v>
      </c>
      <c r="C199" s="7"/>
      <c r="D199" s="7"/>
      <c r="E199" s="7"/>
      <c r="F199" s="62">
        <f t="shared" si="233"/>
        <v>40000</v>
      </c>
      <c r="H199" s="7">
        <f>30000+5000+5000</f>
        <v>40000</v>
      </c>
      <c r="I199" s="7"/>
      <c r="J199" s="7"/>
      <c r="K199" s="7"/>
      <c r="L199" s="62">
        <f t="shared" si="234"/>
        <v>40000</v>
      </c>
      <c r="N199" s="7">
        <f t="shared" si="235"/>
        <v>80000</v>
      </c>
      <c r="O199" s="7">
        <f t="shared" si="235"/>
        <v>0</v>
      </c>
      <c r="P199" s="7">
        <f t="shared" si="235"/>
        <v>0</v>
      </c>
      <c r="Q199" s="7">
        <f t="shared" si="235"/>
        <v>0</v>
      </c>
      <c r="R199" s="62">
        <f t="shared" si="236"/>
        <v>80000</v>
      </c>
    </row>
    <row r="200" spans="1:18" x14ac:dyDescent="0.35">
      <c r="A200" s="63" t="s">
        <v>146</v>
      </c>
      <c r="B200" s="7">
        <f>(1263*12)*1.03*1.03*1.03*1.03</f>
        <v>17058.211524360002</v>
      </c>
      <c r="C200" s="11"/>
      <c r="D200" s="11"/>
      <c r="E200" s="11"/>
      <c r="F200" s="62">
        <f t="shared" si="233"/>
        <v>17058.211524360002</v>
      </c>
      <c r="H200" s="7">
        <f>(1263*12)*1.03*1.03*1.03*1.03</f>
        <v>17058.211524360002</v>
      </c>
      <c r="I200" s="11"/>
      <c r="J200" s="11"/>
      <c r="K200" s="11"/>
      <c r="L200" s="62">
        <f t="shared" si="234"/>
        <v>17058.211524360002</v>
      </c>
      <c r="N200" s="7">
        <f t="shared" si="235"/>
        <v>34116.423048720004</v>
      </c>
      <c r="O200" s="7">
        <f t="shared" si="235"/>
        <v>0</v>
      </c>
      <c r="P200" s="7">
        <f t="shared" si="235"/>
        <v>0</v>
      </c>
      <c r="Q200" s="7">
        <f t="shared" si="235"/>
        <v>0</v>
      </c>
      <c r="R200" s="62">
        <f t="shared" si="236"/>
        <v>34116.423048720004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3"/>
        <v>15500</v>
      </c>
      <c r="H201" s="7">
        <v>11000</v>
      </c>
      <c r="I201" s="7"/>
      <c r="J201" s="7"/>
      <c r="K201" s="7"/>
      <c r="L201" s="62">
        <f t="shared" si="234"/>
        <v>11000</v>
      </c>
      <c r="N201" s="7">
        <f t="shared" si="235"/>
        <v>26500</v>
      </c>
      <c r="O201" s="7">
        <f t="shared" si="235"/>
        <v>0</v>
      </c>
      <c r="P201" s="7">
        <f t="shared" si="235"/>
        <v>0</v>
      </c>
      <c r="Q201" s="7">
        <f t="shared" si="235"/>
        <v>0</v>
      </c>
      <c r="R201" s="62">
        <f t="shared" si="236"/>
        <v>26500</v>
      </c>
    </row>
    <row r="202" spans="1:18" ht="15" thickBot="1" x14ac:dyDescent="0.4">
      <c r="A202" s="63" t="s">
        <v>148</v>
      </c>
      <c r="B202" s="37">
        <f>((3963*2)+1500)*1.03*1.04*1.05*1.05</f>
        <v>11132.087148000002</v>
      </c>
      <c r="C202" s="86"/>
      <c r="D202" s="86"/>
      <c r="E202" s="86"/>
      <c r="F202" s="62">
        <f t="shared" si="233"/>
        <v>11132.087148000002</v>
      </c>
      <c r="H202" s="37">
        <f>((3963*2)+1500)*1.03*1.03*1.03*1.05</f>
        <v>10815.046937100002</v>
      </c>
      <c r="I202" s="86"/>
      <c r="J202" s="86"/>
      <c r="K202" s="86"/>
      <c r="L202" s="62">
        <f t="shared" si="234"/>
        <v>10815.046937100002</v>
      </c>
      <c r="N202" s="7">
        <f t="shared" si="235"/>
        <v>21947.134085100006</v>
      </c>
      <c r="O202" s="7">
        <f t="shared" si="235"/>
        <v>0</v>
      </c>
      <c r="P202" s="7">
        <f t="shared" si="235"/>
        <v>0</v>
      </c>
      <c r="Q202" s="7">
        <f t="shared" si="235"/>
        <v>0</v>
      </c>
      <c r="R202" s="62">
        <f t="shared" si="236"/>
        <v>21947.134085100006</v>
      </c>
    </row>
    <row r="203" spans="1:18" ht="15" thickBot="1" x14ac:dyDescent="0.4">
      <c r="A203" s="95" t="s">
        <v>149</v>
      </c>
      <c r="B203" s="90">
        <f>SUM(B192:B202)</f>
        <v>351281.21037885203</v>
      </c>
      <c r="C203" s="90">
        <f t="shared" ref="C203" si="237">SUM(C192:C202)</f>
        <v>0</v>
      </c>
      <c r="D203" s="90">
        <f>SUM(D192:D202)</f>
        <v>0</v>
      </c>
      <c r="E203" s="90">
        <f t="shared" ref="E203:F203" si="238">SUM(E192:E202)</f>
        <v>0</v>
      </c>
      <c r="F203" s="90">
        <f t="shared" si="238"/>
        <v>351281.21037885203</v>
      </c>
      <c r="H203" s="90">
        <f>SUM(H192:H202)</f>
        <v>315745.29383515206</v>
      </c>
      <c r="I203" s="90">
        <f t="shared" ref="I203" si="239">SUM(I192:I202)</f>
        <v>0</v>
      </c>
      <c r="J203" s="90">
        <f>SUM(J192:J202)</f>
        <v>0</v>
      </c>
      <c r="K203" s="90">
        <f t="shared" ref="K203:L203" si="240">SUM(K192:K202)</f>
        <v>0</v>
      </c>
      <c r="L203" s="90">
        <f t="shared" si="240"/>
        <v>315745.29383515206</v>
      </c>
      <c r="N203" s="90">
        <f>SUM(N192:N202)</f>
        <v>667026.50421400403</v>
      </c>
      <c r="O203" s="90">
        <f t="shared" ref="O203" si="241">SUM(O192:O202)</f>
        <v>0</v>
      </c>
      <c r="P203" s="90">
        <f>SUM(P192:P202)</f>
        <v>0</v>
      </c>
      <c r="Q203" s="90">
        <f t="shared" ref="Q203:R203" si="242">SUM(Q192:Q202)</f>
        <v>0</v>
      </c>
      <c r="R203" s="90">
        <f t="shared" si="242"/>
        <v>667026.50421400403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5695288.2262524348</v>
      </c>
      <c r="C205" s="104">
        <f t="shared" ref="C205" si="243">C138+C150+C165+C174+C179+C190+C203</f>
        <v>331307.2157437008</v>
      </c>
      <c r="D205" s="104">
        <f>D138+D150+D165+D174+D179+D190+D203</f>
        <v>711420.22692329157</v>
      </c>
      <c r="E205" s="104">
        <f t="shared" ref="E205" si="244">E138+E150+E165+E174+E179+E190+E203</f>
        <v>90459.01614673002</v>
      </c>
      <c r="F205" s="104">
        <f>F138+F150+F165+F174+F179+F190+F203</f>
        <v>6824499.685066158</v>
      </c>
      <c r="H205" s="104">
        <f>H138+H150+H165+H174+H179+H190+H203</f>
        <v>5235356.7828369997</v>
      </c>
      <c r="I205" s="104">
        <f t="shared" ref="I205" si="245">I138+I150+I165+I174+I179+I190+I203</f>
        <v>422007.21974623116</v>
      </c>
      <c r="J205" s="104">
        <f>J138+J150+J165+J174+J179+J190+J203</f>
        <v>822203.05999999994</v>
      </c>
      <c r="K205" s="104">
        <f t="shared" ref="K205" si="246">K138+K150+K165+K174+K179+K190+K203</f>
        <v>386690.90000000008</v>
      </c>
      <c r="L205" s="104">
        <f>L138+L150+L165+L174+L179+L190+L203</f>
        <v>6860407.9625832308</v>
      </c>
      <c r="N205" s="104">
        <f>N138+N150+N165+N174+N179+N190+N203</f>
        <v>10930645.009089435</v>
      </c>
      <c r="O205" s="104">
        <f t="shared" ref="O205" si="247">O138+O150+O165+O174+O179+O190+O203</f>
        <v>753314.43548993196</v>
      </c>
      <c r="P205" s="104">
        <f>P138+P150+P165+P174+P179+P190+P203</f>
        <v>1533623.2869232916</v>
      </c>
      <c r="Q205" s="104">
        <f t="shared" ref="Q205" si="248">Q138+Q150+Q165+Q174+Q179+Q190+Q203</f>
        <v>477149.91614673007</v>
      </c>
      <c r="R205" s="104">
        <f>R138+R150+R165+R174+R179+R190+R203</f>
        <v>13694732.647649387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49">SUM(B207:E207)</f>
        <v>0</v>
      </c>
      <c r="H207" s="15">
        <v>1430000</v>
      </c>
      <c r="I207" s="7"/>
      <c r="J207" s="7"/>
      <c r="K207" s="7"/>
      <c r="L207" s="7">
        <f t="shared" ref="L207:L216" si="250">SUM(H207:K207)</f>
        <v>1430000</v>
      </c>
      <c r="N207" s="7">
        <f t="shared" ref="N207:Q217" si="251">B207+H207</f>
        <v>1430000</v>
      </c>
      <c r="O207" s="7">
        <f t="shared" si="251"/>
        <v>0</v>
      </c>
      <c r="P207" s="7">
        <f t="shared" si="251"/>
        <v>0</v>
      </c>
      <c r="Q207" s="7">
        <f t="shared" si="251"/>
        <v>0</v>
      </c>
      <c r="R207" s="7">
        <f t="shared" ref="R207:R216" si="252">SUM(N207:Q207)</f>
        <v>1430000</v>
      </c>
    </row>
    <row r="208" spans="1:18" x14ac:dyDescent="0.35">
      <c r="A208" s="106" t="s">
        <v>152</v>
      </c>
      <c r="B208" s="7">
        <v>1196533.33</v>
      </c>
      <c r="C208" s="7">
        <v>0</v>
      </c>
      <c r="D208" s="7"/>
      <c r="E208" s="7"/>
      <c r="F208" s="7">
        <f t="shared" si="249"/>
        <v>1196533.33</v>
      </c>
      <c r="H208" s="7">
        <v>0</v>
      </c>
      <c r="I208" s="7">
        <v>0</v>
      </c>
      <c r="J208" s="7"/>
      <c r="K208" s="7"/>
      <c r="L208" s="7">
        <f t="shared" si="250"/>
        <v>0</v>
      </c>
      <c r="N208" s="7">
        <f t="shared" si="251"/>
        <v>1196533.33</v>
      </c>
      <c r="O208" s="7">
        <f t="shared" si="251"/>
        <v>0</v>
      </c>
      <c r="P208" s="7">
        <f t="shared" si="251"/>
        <v>0</v>
      </c>
      <c r="Q208" s="7">
        <f t="shared" si="251"/>
        <v>0</v>
      </c>
      <c r="R208" s="7">
        <f t="shared" si="252"/>
        <v>1196533.33</v>
      </c>
    </row>
    <row r="209" spans="1:18" hidden="1" x14ac:dyDescent="0.35">
      <c r="A209" s="106"/>
      <c r="B209" s="7"/>
      <c r="C209" s="7"/>
      <c r="D209" s="7"/>
      <c r="E209" s="7"/>
      <c r="F209" s="7">
        <f t="shared" si="249"/>
        <v>0</v>
      </c>
      <c r="H209" s="7"/>
      <c r="I209" s="7"/>
      <c r="J209" s="7"/>
      <c r="K209" s="7"/>
      <c r="L209" s="7">
        <f t="shared" si="250"/>
        <v>0</v>
      </c>
      <c r="N209" s="7">
        <f t="shared" si="251"/>
        <v>0</v>
      </c>
      <c r="O209" s="7">
        <f t="shared" si="251"/>
        <v>0</v>
      </c>
      <c r="P209" s="7">
        <f t="shared" si="251"/>
        <v>0</v>
      </c>
      <c r="Q209" s="7">
        <f t="shared" si="251"/>
        <v>0</v>
      </c>
      <c r="R209" s="7">
        <f t="shared" si="252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49"/>
        <v>0</v>
      </c>
      <c r="H210" s="7"/>
      <c r="I210" s="7"/>
      <c r="J210" s="7"/>
      <c r="K210" s="7"/>
      <c r="L210" s="7">
        <f t="shared" si="250"/>
        <v>0</v>
      </c>
      <c r="N210" s="7">
        <f t="shared" si="251"/>
        <v>0</v>
      </c>
      <c r="O210" s="7">
        <f t="shared" si="251"/>
        <v>0</v>
      </c>
      <c r="P210" s="7">
        <f t="shared" si="251"/>
        <v>0</v>
      </c>
      <c r="Q210" s="7">
        <f t="shared" si="251"/>
        <v>0</v>
      </c>
      <c r="R210" s="7">
        <f t="shared" si="252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49"/>
        <v>0</v>
      </c>
      <c r="H211" s="7"/>
      <c r="I211" s="7"/>
      <c r="J211" s="7"/>
      <c r="K211" s="7"/>
      <c r="L211" s="7">
        <f t="shared" si="250"/>
        <v>0</v>
      </c>
      <c r="N211" s="7">
        <f t="shared" si="251"/>
        <v>0</v>
      </c>
      <c r="O211" s="7">
        <f t="shared" si="251"/>
        <v>0</v>
      </c>
      <c r="P211" s="7">
        <f t="shared" si="251"/>
        <v>0</v>
      </c>
      <c r="Q211" s="7">
        <f t="shared" si="251"/>
        <v>0</v>
      </c>
      <c r="R211" s="7">
        <f t="shared" si="252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49"/>
        <v>0</v>
      </c>
      <c r="H212" s="7"/>
      <c r="I212" s="7"/>
      <c r="J212" s="7"/>
      <c r="K212" s="7"/>
      <c r="L212" s="7">
        <f t="shared" si="250"/>
        <v>0</v>
      </c>
      <c r="N212" s="7">
        <f t="shared" si="251"/>
        <v>0</v>
      </c>
      <c r="O212" s="7">
        <f t="shared" si="251"/>
        <v>0</v>
      </c>
      <c r="P212" s="7">
        <f t="shared" si="251"/>
        <v>0</v>
      </c>
      <c r="Q212" s="7">
        <f t="shared" si="251"/>
        <v>0</v>
      </c>
      <c r="R212" s="7">
        <f t="shared" si="252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49"/>
        <v>0</v>
      </c>
      <c r="H213" s="7"/>
      <c r="I213" s="7"/>
      <c r="J213" s="7"/>
      <c r="K213" s="7"/>
      <c r="L213" s="7">
        <f t="shared" si="250"/>
        <v>0</v>
      </c>
      <c r="N213" s="7">
        <f t="shared" si="251"/>
        <v>0</v>
      </c>
      <c r="O213" s="7">
        <f t="shared" si="251"/>
        <v>0</v>
      </c>
      <c r="P213" s="7">
        <f t="shared" si="251"/>
        <v>0</v>
      </c>
      <c r="Q213" s="7">
        <f t="shared" si="251"/>
        <v>0</v>
      </c>
      <c r="R213" s="7">
        <f t="shared" si="252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49"/>
        <v>0</v>
      </c>
      <c r="H214" s="7"/>
      <c r="I214" s="7"/>
      <c r="J214" s="7"/>
      <c r="K214" s="7"/>
      <c r="L214" s="7">
        <f t="shared" si="250"/>
        <v>0</v>
      </c>
      <c r="N214" s="7">
        <f t="shared" si="251"/>
        <v>0</v>
      </c>
      <c r="O214" s="7">
        <f t="shared" si="251"/>
        <v>0</v>
      </c>
      <c r="P214" s="7">
        <f t="shared" si="251"/>
        <v>0</v>
      </c>
      <c r="Q214" s="7">
        <f t="shared" si="251"/>
        <v>0</v>
      </c>
      <c r="R214" s="7">
        <f t="shared" si="252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49"/>
        <v>0</v>
      </c>
      <c r="H215" s="7">
        <v>0</v>
      </c>
      <c r="I215" s="7">
        <v>0</v>
      </c>
      <c r="J215" s="7"/>
      <c r="K215" s="7"/>
      <c r="L215" s="7">
        <f t="shared" si="250"/>
        <v>0</v>
      </c>
      <c r="N215" s="7">
        <f t="shared" si="251"/>
        <v>0</v>
      </c>
      <c r="O215" s="7">
        <f t="shared" si="251"/>
        <v>0</v>
      </c>
      <c r="P215" s="7">
        <f t="shared" si="251"/>
        <v>0</v>
      </c>
      <c r="Q215" s="7">
        <f t="shared" si="251"/>
        <v>0</v>
      </c>
      <c r="R215" s="7">
        <f t="shared" si="252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49"/>
        <v>0</v>
      </c>
      <c r="H216" s="7"/>
      <c r="I216" s="7"/>
      <c r="J216" s="7"/>
      <c r="K216" s="7"/>
      <c r="L216" s="7">
        <f t="shared" si="250"/>
        <v>0</v>
      </c>
      <c r="N216" s="7">
        <f t="shared" si="251"/>
        <v>0</v>
      </c>
      <c r="O216" s="7">
        <f t="shared" si="251"/>
        <v>0</v>
      </c>
      <c r="P216" s="7">
        <f t="shared" si="251"/>
        <v>0</v>
      </c>
      <c r="Q216" s="7">
        <f t="shared" si="251"/>
        <v>0</v>
      </c>
      <c r="R216" s="7">
        <f t="shared" si="252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1"/>
        <v>0</v>
      </c>
      <c r="O217" s="7">
        <f t="shared" si="251"/>
        <v>0</v>
      </c>
      <c r="P217" s="7">
        <f t="shared" si="251"/>
        <v>0</v>
      </c>
      <c r="Q217" s="7">
        <f t="shared" si="251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578178.44374756515</v>
      </c>
      <c r="C218" s="149">
        <f t="shared" ref="C218" si="253">C87-C205-C207-C208-C214-C215</f>
        <v>-264725.2157437008</v>
      </c>
      <c r="D218" s="149">
        <f>D87-D205-D207-D208-D214-D215</f>
        <v>-259296.22692329157</v>
      </c>
      <c r="E218" s="149">
        <f t="shared" ref="E218:F218" si="254">E87-E205-E207-E208-E214-E215</f>
        <v>-27711.016146730013</v>
      </c>
      <c r="F218" s="149">
        <f t="shared" si="254"/>
        <v>30420.984933841974</v>
      </c>
      <c r="H218" s="149">
        <f>H87-H205-H207-H208-H214-H215</f>
        <v>804643.21716300026</v>
      </c>
      <c r="I218" s="149">
        <f t="shared" ref="I218" si="255">I87-I205-I207-I208-I214-I215</f>
        <v>-18072.099746231164</v>
      </c>
      <c r="J218" s="149">
        <f>J87-J205-J207-J208-J214-J215</f>
        <v>-303363.05999999994</v>
      </c>
      <c r="K218" s="149">
        <f t="shared" ref="K218:L218" si="256">K87-K205-K207-K208-K214-K215</f>
        <v>-46507.100000000035</v>
      </c>
      <c r="L218" s="149">
        <f t="shared" si="256"/>
        <v>442550.95741676912</v>
      </c>
      <c r="N218" s="149">
        <f>N87-N205-N207-N208-N214-N215</f>
        <v>1382821.6609105654</v>
      </c>
      <c r="O218" s="149">
        <f t="shared" ref="O218" si="257">O87-O205-O207-O208-O214-O215</f>
        <v>-282797.31548993196</v>
      </c>
      <c r="P218" s="149">
        <f>P87-P205-P207-P208-P214-P215</f>
        <v>-562659.28692329163</v>
      </c>
      <c r="Q218" s="149">
        <f t="shared" ref="Q218:R218" si="258">Q87-Q205-Q207-Q208-Q214-Q215</f>
        <v>-74218.116146730026</v>
      </c>
      <c r="R218" s="149">
        <f t="shared" si="258"/>
        <v>463146.94235061482</v>
      </c>
    </row>
    <row r="219" spans="1:18" ht="15" thickBot="1" x14ac:dyDescent="0.4">
      <c r="A219" s="108"/>
      <c r="B219" s="110">
        <f>B218/(B87-B77)</f>
        <v>7.7400059403957847E-2</v>
      </c>
      <c r="C219" s="110">
        <f t="shared" ref="C219" si="259">C218/(C87-C77)</f>
        <v>-3.9759276642891592</v>
      </c>
      <c r="D219" s="110">
        <f>D218/(D87-D77)</f>
        <v>-0.57350688510959735</v>
      </c>
      <c r="E219" s="110">
        <f>E218/(E87)</f>
        <v>-0.4416238947333781</v>
      </c>
      <c r="F219" s="110">
        <f t="shared" ref="F219" si="260">F218/(F87-F77)</f>
        <v>3.8079990594023579E-3</v>
      </c>
      <c r="H219" s="110">
        <f>H218/(H87-H77)</f>
        <v>0.10771662880361449</v>
      </c>
      <c r="I219" s="110">
        <f t="shared" ref="I219" si="261">I218/(I87-I77)</f>
        <v>-4.4740105159044266E-2</v>
      </c>
      <c r="J219" s="110">
        <f>J218/(J87-J77)</f>
        <v>-0.58469481921208843</v>
      </c>
      <c r="K219" s="110">
        <f>K218/(K87)</f>
        <v>-0.13671168350756277</v>
      </c>
      <c r="L219" s="110">
        <f t="shared" ref="L219" si="262">L218/(L87-L77)</f>
        <v>5.2729991104154494E-2</v>
      </c>
      <c r="N219" s="110">
        <f>N218/(N87-N77)</f>
        <v>9.2558344103786175E-2</v>
      </c>
      <c r="O219" s="110">
        <f t="shared" ref="O219" si="263">O218/(O87-O77)</f>
        <v>-0.60103512384402069</v>
      </c>
      <c r="P219" s="110">
        <f>P218/(P87-P77)</f>
        <v>-0.57948521976436984</v>
      </c>
      <c r="Q219" s="110">
        <f>Q218/(Q87)</f>
        <v>-0.18419523141814576</v>
      </c>
      <c r="R219" s="110">
        <f t="shared" ref="R219" si="264">R218/(R87-R77)</f>
        <v>2.827259262809655E-2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26</v>
      </c>
      <c r="B221" s="174" t="str">
        <f>B1</f>
        <v>Operating</v>
      </c>
      <c r="C221" s="174" t="str">
        <f t="shared" ref="C221" si="265">C1</f>
        <v>Weights</v>
      </c>
      <c r="D221" s="174" t="str">
        <f>D1</f>
        <v>SPED</v>
      </c>
      <c r="E221" s="174" t="str">
        <f t="shared" ref="E221:F221" si="266">E1</f>
        <v>NSLP</v>
      </c>
      <c r="F221" s="174" t="str">
        <f t="shared" si="266"/>
        <v>Mt. Rose</v>
      </c>
      <c r="H221" s="174" t="str">
        <f>H1</f>
        <v>Operating</v>
      </c>
      <c r="I221" s="174" t="str">
        <f t="shared" ref="I221" si="267">I1</f>
        <v>Weights</v>
      </c>
      <c r="J221" s="174" t="str">
        <f>J1</f>
        <v>SPED</v>
      </c>
      <c r="K221" s="174" t="str">
        <f t="shared" ref="K221:L221" si="268">K1</f>
        <v>NSLP</v>
      </c>
      <c r="L221" s="174" t="str">
        <f t="shared" si="268"/>
        <v>New Campus</v>
      </c>
      <c r="N221" s="174" t="str">
        <f>N1</f>
        <v>Operating</v>
      </c>
      <c r="O221" s="174" t="str">
        <f t="shared" ref="O221" si="269">O1</f>
        <v>Weights</v>
      </c>
      <c r="P221" s="174" t="str">
        <f>P1</f>
        <v>SPED</v>
      </c>
      <c r="Q221" s="174" t="str">
        <f t="shared" ref="Q221:R221" si="270">Q1</f>
        <v>NSLP</v>
      </c>
      <c r="R221" s="174" t="str">
        <f t="shared" si="270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  <row r="223" spans="1:18" x14ac:dyDescent="0.35">
      <c r="H223" s="122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2"/>
  <sheetViews>
    <sheetView topLeftCell="A170" zoomScale="75" zoomScaleNormal="75" workbookViewId="0">
      <selection activeCell="L202" sqref="L202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263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7598</v>
      </c>
      <c r="C2" s="7">
        <v>0</v>
      </c>
      <c r="D2" s="7">
        <v>0</v>
      </c>
      <c r="E2" s="7">
        <v>0</v>
      </c>
      <c r="F2" s="7">
        <f>SUM(B2:E2)</f>
        <v>7598</v>
      </c>
      <c r="H2" s="7">
        <v>7598</v>
      </c>
      <c r="I2" s="7">
        <v>0</v>
      </c>
      <c r="J2" s="7">
        <v>0</v>
      </c>
      <c r="K2" s="7">
        <v>0</v>
      </c>
      <c r="L2" s="7">
        <f>SUM(H2:K2)</f>
        <v>7598</v>
      </c>
      <c r="N2" s="7">
        <f>H2</f>
        <v>7598</v>
      </c>
      <c r="O2" s="7">
        <v>0</v>
      </c>
      <c r="P2" s="7">
        <v>0</v>
      </c>
      <c r="Q2" s="7">
        <v>0</v>
      </c>
      <c r="R2" s="7">
        <f>SUM(N2:Q2)</f>
        <v>7598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996</v>
      </c>
      <c r="I5" s="9"/>
      <c r="J5" s="9"/>
      <c r="K5" s="9"/>
      <c r="L5" s="9">
        <f t="shared" ref="L5:L19" si="1">SUM(H5:K5)</f>
        <v>996</v>
      </c>
      <c r="N5" s="9">
        <f>N6+N7+N8+N9+N10+N11+N12+N13+N14+N15+N16+N17+N18</f>
        <v>1992</v>
      </c>
      <c r="O5" s="9"/>
      <c r="P5" s="9"/>
      <c r="Q5" s="9"/>
      <c r="R5" s="9">
        <f t="shared" ref="R5:R19" si="2">SUM(N5:Q5)</f>
        <v>1992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27*4</f>
        <v>108</v>
      </c>
      <c r="I11" s="11"/>
      <c r="J11" s="11"/>
      <c r="K11" s="11"/>
      <c r="L11" s="9">
        <f t="shared" si="1"/>
        <v>108</v>
      </c>
      <c r="M11" s="187">
        <v>4</v>
      </c>
      <c r="N11" s="7">
        <f t="shared" si="3"/>
        <v>216</v>
      </c>
      <c r="O11" s="11"/>
      <c r="P11" s="11"/>
      <c r="Q11" s="11"/>
      <c r="R11" s="9">
        <f t="shared" si="2"/>
        <v>216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f>31*4</f>
        <v>124</v>
      </c>
      <c r="I13" s="7"/>
      <c r="J13" s="7"/>
      <c r="K13" s="7"/>
      <c r="L13" s="9">
        <f t="shared" si="1"/>
        <v>124</v>
      </c>
      <c r="M13" s="187">
        <v>4</v>
      </c>
      <c r="N13" s="7">
        <f t="shared" si="3"/>
        <v>248</v>
      </c>
      <c r="O13" s="7"/>
      <c r="P13" s="7"/>
      <c r="Q13" s="7"/>
      <c r="R13" s="9">
        <f t="shared" si="2"/>
        <v>248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f>31*4</f>
        <v>124</v>
      </c>
      <c r="I14" s="7"/>
      <c r="J14" s="7"/>
      <c r="K14" s="7"/>
      <c r="L14" s="9">
        <f t="shared" si="1"/>
        <v>124</v>
      </c>
      <c r="M14" s="187">
        <v>4</v>
      </c>
      <c r="N14" s="7">
        <f t="shared" si="3"/>
        <v>248</v>
      </c>
      <c r="O14" s="7"/>
      <c r="P14" s="7"/>
      <c r="Q14" s="7"/>
      <c r="R14" s="9">
        <f t="shared" si="2"/>
        <v>248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996</v>
      </c>
      <c r="I19" s="9"/>
      <c r="J19" s="9"/>
      <c r="K19" s="9"/>
      <c r="L19" s="9">
        <f t="shared" si="1"/>
        <v>996</v>
      </c>
      <c r="M19" s="188">
        <f>L19*0.11</f>
        <v>109.56</v>
      </c>
      <c r="N19" s="9">
        <f>SUM(N6:N18)</f>
        <v>1992</v>
      </c>
      <c r="O19" s="9"/>
      <c r="P19" s="9"/>
      <c r="Q19" s="9"/>
      <c r="R19" s="9">
        <f t="shared" si="2"/>
        <v>1992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992*0.17</f>
        <v>168.64000000000001</v>
      </c>
      <c r="K22" s="7"/>
      <c r="L22" s="7">
        <f t="shared" ref="L22:L27" si="5">SUM(H22:K22)</f>
        <v>168.64000000000001</v>
      </c>
      <c r="N22" s="190">
        <f>B22+H22</f>
        <v>0</v>
      </c>
      <c r="O22" s="190">
        <f t="shared" ref="O22:Q24" si="6">C22+I22</f>
        <v>0</v>
      </c>
      <c r="P22" s="190">
        <f t="shared" si="6"/>
        <v>276.64</v>
      </c>
      <c r="Q22" s="190">
        <f t="shared" si="6"/>
        <v>0</v>
      </c>
      <c r="R22" s="7">
        <f t="shared" ref="R22:R27" si="7">SUM(N22:Q22)</f>
        <v>276.64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992*0.2</f>
        <v>198.4</v>
      </c>
      <c r="J23" s="7"/>
      <c r="K23" s="7"/>
      <c r="L23" s="7">
        <f t="shared" si="5"/>
        <v>198.4</v>
      </c>
      <c r="N23" s="190">
        <f t="shared" ref="N23:N24" si="8">B23+H23</f>
        <v>0</v>
      </c>
      <c r="O23" s="7">
        <f t="shared" si="6"/>
        <v>201.4</v>
      </c>
      <c r="P23" s="190">
        <f t="shared" si="6"/>
        <v>0</v>
      </c>
      <c r="Q23" s="190">
        <f t="shared" si="6"/>
        <v>0</v>
      </c>
      <c r="R23" s="7">
        <f t="shared" si="7"/>
        <v>201.4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38</v>
      </c>
      <c r="J24" s="7"/>
      <c r="K24" s="7"/>
      <c r="L24" s="7">
        <f t="shared" si="5"/>
        <v>38</v>
      </c>
      <c r="N24" s="190">
        <f t="shared" si="8"/>
        <v>0</v>
      </c>
      <c r="O24" s="7">
        <f t="shared" si="6"/>
        <v>91</v>
      </c>
      <c r="P24" s="190">
        <f t="shared" si="6"/>
        <v>0</v>
      </c>
      <c r="Q24" s="190">
        <f t="shared" si="6"/>
        <v>0</v>
      </c>
      <c r="R24" s="7">
        <f t="shared" si="7"/>
        <v>91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0.32500000000000007</v>
      </c>
      <c r="R25" s="19">
        <f t="shared" si="7"/>
        <v>0.32500000000000007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(992*0.6)-I23-(J22*0.5)</f>
        <v>312.47999999999996</v>
      </c>
      <c r="J26" s="7"/>
      <c r="K26" s="7"/>
      <c r="L26" s="7">
        <f t="shared" si="5"/>
        <v>312.47999999999996</v>
      </c>
      <c r="N26" s="190">
        <f>B26+H26</f>
        <v>0</v>
      </c>
      <c r="O26" s="190">
        <f t="shared" ref="O26:Q26" si="9">C26+I26</f>
        <v>367.47999999999996</v>
      </c>
      <c r="P26" s="190">
        <f t="shared" si="9"/>
        <v>0</v>
      </c>
      <c r="Q26" s="190">
        <f t="shared" si="9"/>
        <v>0</v>
      </c>
      <c r="R26" s="7">
        <f t="shared" si="7"/>
        <v>367.47999999999996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36</v>
      </c>
      <c r="I29" s="23"/>
      <c r="J29" s="23"/>
      <c r="K29" s="23"/>
      <c r="L29" s="23">
        <f t="shared" ref="L29:L38" si="11">SUM(H29:K29)</f>
        <v>36</v>
      </c>
      <c r="M29" s="188">
        <f>L29/6</f>
        <v>6</v>
      </c>
      <c r="N29" s="190">
        <f>B29+H29</f>
        <v>72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72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7</v>
      </c>
      <c r="K30" s="26"/>
      <c r="L30" s="23">
        <f t="shared" si="11"/>
        <v>7</v>
      </c>
      <c r="M30" s="188">
        <f>J22/23</f>
        <v>7.3321739130434791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10.5</v>
      </c>
      <c r="Q30" s="190">
        <f t="shared" si="12"/>
        <v>0</v>
      </c>
      <c r="R30" s="23">
        <f t="shared" si="13"/>
        <v>10.5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2</v>
      </c>
      <c r="I31" s="23"/>
      <c r="J31" s="23"/>
      <c r="K31" s="23"/>
      <c r="L31" s="23">
        <f t="shared" si="11"/>
        <v>2</v>
      </c>
      <c r="N31" s="190">
        <f t="shared" si="14"/>
        <v>4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4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41</v>
      </c>
      <c r="I39" s="30">
        <f t="shared" ref="I39:L39" si="16">SUM(I29:I38)</f>
        <v>0</v>
      </c>
      <c r="J39" s="30">
        <f t="shared" si="16"/>
        <v>7</v>
      </c>
      <c r="K39" s="30">
        <f t="shared" si="16"/>
        <v>0</v>
      </c>
      <c r="L39" s="30">
        <f t="shared" si="16"/>
        <v>48</v>
      </c>
      <c r="N39" s="30">
        <f>SUM(N29:N38)</f>
        <v>83</v>
      </c>
      <c r="O39" s="30">
        <f t="shared" ref="O39:R39" si="17">SUM(O29:O38)</f>
        <v>0</v>
      </c>
      <c r="P39" s="30">
        <f t="shared" si="17"/>
        <v>10.5</v>
      </c>
      <c r="Q39" s="30">
        <f t="shared" si="17"/>
        <v>0</v>
      </c>
      <c r="R39" s="30">
        <f t="shared" si="17"/>
        <v>93.5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2</v>
      </c>
      <c r="I43" s="23"/>
      <c r="J43" s="23"/>
      <c r="K43" s="23"/>
      <c r="L43" s="23">
        <f t="shared" si="19"/>
        <v>2</v>
      </c>
      <c r="N43" s="190">
        <f t="shared" ref="N43:Q62" si="22">B43+H43</f>
        <v>4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4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1</v>
      </c>
      <c r="J46" s="23"/>
      <c r="K46" s="23"/>
      <c r="L46" s="23">
        <f t="shared" si="19"/>
        <v>1</v>
      </c>
      <c r="N46" s="190">
        <f t="shared" si="22"/>
        <v>1</v>
      </c>
      <c r="O46" s="190">
        <f t="shared" si="20"/>
        <v>1</v>
      </c>
      <c r="P46" s="190">
        <f t="shared" si="20"/>
        <v>0</v>
      </c>
      <c r="Q46" s="190">
        <f t="shared" si="20"/>
        <v>0</v>
      </c>
      <c r="R46" s="23">
        <f t="shared" si="21"/>
        <v>2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>
        <v>0</v>
      </c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6</v>
      </c>
      <c r="J52" s="158">
        <v>4</v>
      </c>
      <c r="K52" s="158"/>
      <c r="L52" s="23">
        <f t="shared" si="19"/>
        <v>10</v>
      </c>
      <c r="N52" s="190">
        <f t="shared" si="22"/>
        <v>0</v>
      </c>
      <c r="O52" s="190">
        <f t="shared" si="20"/>
        <v>10</v>
      </c>
      <c r="P52" s="190">
        <f t="shared" si="20"/>
        <v>7</v>
      </c>
      <c r="Q52" s="190">
        <f t="shared" si="20"/>
        <v>0</v>
      </c>
      <c r="R52" s="23">
        <f t="shared" si="21"/>
        <v>17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1</v>
      </c>
      <c r="J61" s="157"/>
      <c r="K61" s="157"/>
      <c r="L61" s="23">
        <f t="shared" si="19"/>
        <v>1</v>
      </c>
      <c r="N61" s="190">
        <f t="shared" si="22"/>
        <v>0</v>
      </c>
      <c r="O61" s="190">
        <f t="shared" si="22"/>
        <v>2</v>
      </c>
      <c r="P61" s="190">
        <f t="shared" si="22"/>
        <v>0</v>
      </c>
      <c r="Q61" s="190">
        <f t="shared" si="22"/>
        <v>0</v>
      </c>
      <c r="R61" s="23">
        <f t="shared" si="21"/>
        <v>2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9</v>
      </c>
      <c r="I63" s="30">
        <f t="shared" ref="I63:L63" si="24">SUM(I42:I61)</f>
        <v>9</v>
      </c>
      <c r="J63" s="30">
        <f t="shared" si="24"/>
        <v>4</v>
      </c>
      <c r="K63" s="30">
        <f t="shared" si="24"/>
        <v>1</v>
      </c>
      <c r="L63" s="30">
        <f t="shared" si="24"/>
        <v>23</v>
      </c>
      <c r="N63" s="30">
        <f>SUM(N42:N61)</f>
        <v>21</v>
      </c>
      <c r="O63" s="30">
        <f t="shared" ref="O63:Q63" si="25">SUM(O42:O61)</f>
        <v>14</v>
      </c>
      <c r="P63" s="30">
        <f t="shared" si="25"/>
        <v>8</v>
      </c>
      <c r="Q63" s="30">
        <f t="shared" si="25"/>
        <v>2</v>
      </c>
      <c r="R63" s="30">
        <f>SUM(R42:R61)</f>
        <v>45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41</v>
      </c>
      <c r="I65" s="39">
        <f>I61</f>
        <v>1</v>
      </c>
      <c r="J65" s="39">
        <f>J39</f>
        <v>7</v>
      </c>
      <c r="K65" s="39">
        <f t="shared" ref="K65" si="27">K39</f>
        <v>0</v>
      </c>
      <c r="L65" s="39">
        <f>L39</f>
        <v>48</v>
      </c>
      <c r="N65" s="39">
        <f>N39</f>
        <v>83</v>
      </c>
      <c r="O65" s="39">
        <f>O61</f>
        <v>2</v>
      </c>
      <c r="P65" s="39">
        <f>P39</f>
        <v>10.5</v>
      </c>
      <c r="Q65" s="39">
        <f t="shared" ref="Q65" si="28">Q39</f>
        <v>0</v>
      </c>
      <c r="R65" s="39">
        <f>R39</f>
        <v>93.5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9</v>
      </c>
      <c r="I66" s="42">
        <f>I63</f>
        <v>9</v>
      </c>
      <c r="J66" s="42">
        <f>J63</f>
        <v>4</v>
      </c>
      <c r="K66" s="42">
        <f t="shared" ref="K66:L66" si="30">K63</f>
        <v>1</v>
      </c>
      <c r="L66" s="42">
        <f t="shared" si="30"/>
        <v>23</v>
      </c>
      <c r="N66" s="42">
        <f>N63</f>
        <v>21</v>
      </c>
      <c r="O66" s="42">
        <f>O63</f>
        <v>14</v>
      </c>
      <c r="P66" s="42">
        <f>P63</f>
        <v>8</v>
      </c>
      <c r="Q66" s="42">
        <f t="shared" ref="Q66:R66" si="31">Q63</f>
        <v>2</v>
      </c>
      <c r="R66" s="42">
        <f t="shared" si="31"/>
        <v>45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50</v>
      </c>
      <c r="I67" s="44">
        <f t="shared" ref="I67" si="34">SUM(I65:I66)</f>
        <v>10</v>
      </c>
      <c r="J67" s="44">
        <f>SUM(J65:J66)</f>
        <v>11</v>
      </c>
      <c r="K67" s="44">
        <f t="shared" ref="K67:L67" si="35">SUM(K65:K66)</f>
        <v>1</v>
      </c>
      <c r="L67" s="44">
        <f t="shared" si="35"/>
        <v>71</v>
      </c>
      <c r="N67" s="44">
        <f>SUM(N65:N66)</f>
        <v>104</v>
      </c>
      <c r="O67" s="44">
        <f t="shared" ref="O67" si="36">SUM(O65:O66)</f>
        <v>16</v>
      </c>
      <c r="P67" s="44">
        <f>SUM(P65:P66)</f>
        <v>18.5</v>
      </c>
      <c r="Q67" s="44">
        <f t="shared" ref="Q67:R67" si="37">SUM(Q65:Q66)</f>
        <v>2</v>
      </c>
      <c r="R67" s="44">
        <f t="shared" si="37"/>
        <v>138.5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0.62214964735014378</v>
      </c>
      <c r="H69" s="47"/>
      <c r="I69" s="47"/>
      <c r="J69" s="47"/>
      <c r="K69" s="47"/>
      <c r="L69" s="47">
        <f t="shared" ref="L69" si="39">L138/(SUM(L205:L215))</f>
        <v>0.56520057333674667</v>
      </c>
      <c r="N69" s="47"/>
      <c r="O69" s="47"/>
      <c r="P69" s="47"/>
      <c r="Q69" s="47"/>
      <c r="R69" s="47">
        <f t="shared" ref="R69" si="40">R138/(SUM(R205:R215))</f>
        <v>0.59333413787961187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0.73999885113630326</v>
      </c>
      <c r="H70" s="49"/>
      <c r="I70" s="49"/>
      <c r="J70" s="49"/>
      <c r="K70" s="49"/>
      <c r="L70" s="49">
        <f t="shared" ref="L70" si="42">(L109+L110+L111+L114)/L130</f>
        <v>0.78328788702462748</v>
      </c>
      <c r="N70" s="49"/>
      <c r="O70" s="49"/>
      <c r="P70" s="49"/>
      <c r="Q70" s="49"/>
      <c r="R70" s="49">
        <f t="shared" ref="R70" si="43">(R109+R110+R111+R114)/R130</f>
        <v>0.7610681073804948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0.26000114886369685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0.21671211297537243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0.23893189261950526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0.1467485366019344</v>
      </c>
      <c r="H72" s="53"/>
      <c r="I72" s="53"/>
      <c r="J72" s="53"/>
      <c r="K72" s="53"/>
      <c r="L72" s="53">
        <f t="shared" ref="L72" si="48">SUM(L207:L215)/L87</f>
        <v>0.16242720094123078</v>
      </c>
      <c r="N72" s="53"/>
      <c r="O72" s="53"/>
      <c r="P72" s="53"/>
      <c r="Q72" s="53"/>
      <c r="R72" s="53">
        <f t="shared" ref="R72" si="49">SUM(R207:R215)/R87</f>
        <v>0.15496623174871973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7567608</v>
      </c>
      <c r="C75" s="7">
        <f t="shared" ref="C75" si="56">(C2*C5)*0.95</f>
        <v>0</v>
      </c>
      <c r="D75" s="7"/>
      <c r="E75" s="7"/>
      <c r="F75" s="7">
        <f t="shared" ref="F75:F86" si="57">SUM(B75:E75)</f>
        <v>7567608</v>
      </c>
      <c r="H75" s="7">
        <f>(H2*H5)</f>
        <v>7567608</v>
      </c>
      <c r="I75" s="7">
        <f t="shared" ref="I75" si="58">(I2*I5)*0.95</f>
        <v>0</v>
      </c>
      <c r="J75" s="7"/>
      <c r="K75" s="7"/>
      <c r="L75" s="7">
        <f t="shared" ref="L75:L86" si="59">SUM(H75:K75)</f>
        <v>7567608</v>
      </c>
      <c r="N75" s="7">
        <f>B75+H75</f>
        <v>15135216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15135216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(H19*K25)*3.55*180</f>
        <v>350044.2</v>
      </c>
      <c r="L77" s="7">
        <f t="shared" si="59"/>
        <v>350044.2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412792.2</v>
      </c>
      <c r="R77" s="7">
        <f t="shared" si="61"/>
        <v>412792.2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160208</v>
      </c>
      <c r="K78" s="7"/>
      <c r="L78" s="7">
        <f t="shared" si="59"/>
        <v>160208</v>
      </c>
      <c r="N78" s="7">
        <f t="shared" si="64"/>
        <v>0</v>
      </c>
      <c r="O78" s="7">
        <f t="shared" si="60"/>
        <v>0</v>
      </c>
      <c r="P78" s="7">
        <f t="shared" si="60"/>
        <v>262808</v>
      </c>
      <c r="Q78" s="7">
        <f t="shared" si="60"/>
        <v>0</v>
      </c>
      <c r="R78" s="7">
        <f t="shared" si="61"/>
        <v>262808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2600*D22</f>
        <v>280800</v>
      </c>
      <c r="E79" s="37"/>
      <c r="F79" s="7">
        <f t="shared" si="57"/>
        <v>280800</v>
      </c>
      <c r="H79" s="37">
        <f>3200*H22</f>
        <v>0</v>
      </c>
      <c r="I79" s="37">
        <f t="shared" ref="I79" si="70">3200*I22</f>
        <v>0</v>
      </c>
      <c r="J79" s="37">
        <f>2600*J22</f>
        <v>438464.00000000006</v>
      </c>
      <c r="K79" s="37"/>
      <c r="L79" s="7">
        <f t="shared" si="59"/>
        <v>438464.00000000006</v>
      </c>
      <c r="N79" s="7">
        <f t="shared" si="64"/>
        <v>0</v>
      </c>
      <c r="O79" s="7">
        <f t="shared" si="60"/>
        <v>0</v>
      </c>
      <c r="P79" s="7">
        <f t="shared" si="60"/>
        <v>719264</v>
      </c>
      <c r="Q79" s="7">
        <f t="shared" si="60"/>
        <v>0</v>
      </c>
      <c r="R79" s="7">
        <f t="shared" si="61"/>
        <v>719264</v>
      </c>
    </row>
    <row r="80" spans="1:18" x14ac:dyDescent="0.35">
      <c r="A80" s="63" t="s">
        <v>213</v>
      </c>
      <c r="B80" s="37">
        <f>1400*B23</f>
        <v>0</v>
      </c>
      <c r="C80" s="37">
        <f>1763*C23</f>
        <v>5289</v>
      </c>
      <c r="D80" s="37"/>
      <c r="E80" s="37"/>
      <c r="F80" s="7">
        <f t="shared" si="57"/>
        <v>5289</v>
      </c>
      <c r="H80" s="37">
        <f>1400*H23</f>
        <v>0</v>
      </c>
      <c r="I80" s="37">
        <f>1763*I23</f>
        <v>349779.20000000001</v>
      </c>
      <c r="J80" s="37"/>
      <c r="K80" s="37"/>
      <c r="L80" s="7">
        <f t="shared" si="59"/>
        <v>349779.20000000001</v>
      </c>
      <c r="N80" s="7">
        <f t="shared" si="64"/>
        <v>0</v>
      </c>
      <c r="O80" s="7">
        <f t="shared" si="60"/>
        <v>355068.2</v>
      </c>
      <c r="P80" s="7">
        <f t="shared" si="60"/>
        <v>0</v>
      </c>
      <c r="Q80" s="7">
        <f t="shared" si="60"/>
        <v>0</v>
      </c>
      <c r="R80" s="7">
        <f t="shared" si="61"/>
        <v>355068.2</v>
      </c>
    </row>
    <row r="81" spans="1:18" x14ac:dyDescent="0.35">
      <c r="A81" s="63" t="s">
        <v>214</v>
      </c>
      <c r="B81" s="7">
        <f>830*B24</f>
        <v>0</v>
      </c>
      <c r="C81" s="7">
        <f>900*C24</f>
        <v>47700</v>
      </c>
      <c r="D81" s="7"/>
      <c r="E81" s="7"/>
      <c r="F81" s="7">
        <f t="shared" si="57"/>
        <v>47700</v>
      </c>
      <c r="H81" s="7">
        <f>830*H24</f>
        <v>0</v>
      </c>
      <c r="I81" s="7">
        <f>900*I24</f>
        <v>34200</v>
      </c>
      <c r="J81" s="7"/>
      <c r="K81" s="7"/>
      <c r="L81" s="7">
        <f t="shared" si="59"/>
        <v>34200</v>
      </c>
      <c r="N81" s="7">
        <f t="shared" si="64"/>
        <v>0</v>
      </c>
      <c r="O81" s="7">
        <f t="shared" si="60"/>
        <v>81900</v>
      </c>
      <c r="P81" s="7">
        <f t="shared" si="60"/>
        <v>0</v>
      </c>
      <c r="Q81" s="7">
        <f t="shared" si="60"/>
        <v>0</v>
      </c>
      <c r="R81" s="7">
        <f t="shared" si="61"/>
        <v>81900</v>
      </c>
    </row>
    <row r="82" spans="1:18" x14ac:dyDescent="0.35">
      <c r="A82" s="63" t="s">
        <v>215</v>
      </c>
      <c r="B82" s="7">
        <f>240*B26</f>
        <v>0</v>
      </c>
      <c r="C82" s="7">
        <f>263*C26</f>
        <v>14465</v>
      </c>
      <c r="D82" s="7"/>
      <c r="E82" s="7"/>
      <c r="F82" s="7">
        <f t="shared" si="57"/>
        <v>14465</v>
      </c>
      <c r="H82" s="7">
        <f>240*H26</f>
        <v>0</v>
      </c>
      <c r="I82" s="7">
        <f>263*I26</f>
        <v>82182.239999999991</v>
      </c>
      <c r="J82" s="7"/>
      <c r="K82" s="7"/>
      <c r="L82" s="7">
        <f t="shared" si="59"/>
        <v>82182.239999999991</v>
      </c>
      <c r="N82" s="7">
        <f t="shared" si="64"/>
        <v>0</v>
      </c>
      <c r="O82" s="7">
        <f t="shared" si="60"/>
        <v>96647.239999999991</v>
      </c>
      <c r="P82" s="7">
        <f t="shared" si="60"/>
        <v>0</v>
      </c>
      <c r="Q82" s="7">
        <f t="shared" si="60"/>
        <v>0</v>
      </c>
      <c r="R82" s="7">
        <f t="shared" si="61"/>
        <v>96647.239999999991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7567608</v>
      </c>
      <c r="C87" s="69">
        <f t="shared" ref="C87" si="71">SUM(C75:C86)</f>
        <v>67454</v>
      </c>
      <c r="D87" s="69">
        <f>SUM(D75:D86)</f>
        <v>457524</v>
      </c>
      <c r="E87" s="69">
        <f t="shared" ref="E87:F87" si="72">SUM(E75:E86)</f>
        <v>62748.000000000007</v>
      </c>
      <c r="F87" s="69">
        <f t="shared" si="72"/>
        <v>8155334</v>
      </c>
      <c r="G87" s="187">
        <f>F87/B19</f>
        <v>8188.0863453815264</v>
      </c>
      <c r="H87" s="69">
        <f>SUM(H75:H86)</f>
        <v>7567608</v>
      </c>
      <c r="I87" s="69">
        <f t="shared" ref="I87" si="73">SUM(I75:I86)</f>
        <v>466161.44</v>
      </c>
      <c r="J87" s="69">
        <f>SUM(J75:J86)</f>
        <v>598672</v>
      </c>
      <c r="K87" s="69">
        <f t="shared" ref="K87:L87" si="74">SUM(K75:K86)</f>
        <v>350044.2</v>
      </c>
      <c r="L87" s="69">
        <f t="shared" si="74"/>
        <v>8982485.6400000006</v>
      </c>
      <c r="M87" s="187">
        <f>L87/H19</f>
        <v>9018.5598795180722</v>
      </c>
      <c r="N87" s="69">
        <f>SUM(N75:N86)</f>
        <v>15135216</v>
      </c>
      <c r="O87" s="69">
        <f t="shared" ref="O87" si="75">SUM(O75:O86)</f>
        <v>533615.43999999994</v>
      </c>
      <c r="P87" s="69">
        <f>SUM(P75:P86)</f>
        <v>1056196</v>
      </c>
      <c r="Q87" s="69">
        <f t="shared" ref="Q87:R87" si="76">SUM(Q75:Q86)</f>
        <v>412792.2</v>
      </c>
      <c r="R87" s="69">
        <f t="shared" si="76"/>
        <v>17137819.639999997</v>
      </c>
    </row>
    <row r="88" spans="1:18" hidden="1" x14ac:dyDescent="0.35">
      <c r="A88" s="61" t="s">
        <v>211</v>
      </c>
      <c r="B88" s="62">
        <f>B2*B5</f>
        <v>7567608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7567608</v>
      </c>
      <c r="H88" s="62">
        <f>H2*H5</f>
        <v>7567608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7567608</v>
      </c>
      <c r="N88" s="62">
        <f>N2*N5</f>
        <v>15135216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15135216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350044.2</v>
      </c>
      <c r="L90" s="62">
        <f t="shared" si="90"/>
        <v>350044.2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412792.2</v>
      </c>
      <c r="R90" s="62">
        <f t="shared" si="91"/>
        <v>412792.2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160208</v>
      </c>
      <c r="K91" s="62">
        <f t="shared" si="90"/>
        <v>0</v>
      </c>
      <c r="L91" s="62">
        <f t="shared" si="90"/>
        <v>160208</v>
      </c>
      <c r="N91" s="62">
        <f t="shared" si="91"/>
        <v>0</v>
      </c>
      <c r="O91" s="62">
        <f t="shared" si="91"/>
        <v>0</v>
      </c>
      <c r="P91" s="62">
        <f t="shared" si="91"/>
        <v>262808</v>
      </c>
      <c r="Q91" s="62">
        <f t="shared" si="91"/>
        <v>0</v>
      </c>
      <c r="R91" s="62">
        <f t="shared" si="91"/>
        <v>262808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280800</v>
      </c>
      <c r="E92" s="62">
        <f t="shared" si="89"/>
        <v>0</v>
      </c>
      <c r="F92" s="62">
        <f t="shared" si="89"/>
        <v>280800</v>
      </c>
      <c r="H92" s="62">
        <f t="shared" si="90"/>
        <v>0</v>
      </c>
      <c r="I92" s="62">
        <f t="shared" si="90"/>
        <v>0</v>
      </c>
      <c r="J92" s="62">
        <f t="shared" si="90"/>
        <v>438464.00000000006</v>
      </c>
      <c r="K92" s="62">
        <f t="shared" si="90"/>
        <v>0</v>
      </c>
      <c r="L92" s="62">
        <f t="shared" si="90"/>
        <v>438464.00000000006</v>
      </c>
      <c r="N92" s="62">
        <f t="shared" si="91"/>
        <v>0</v>
      </c>
      <c r="O92" s="62">
        <f t="shared" si="91"/>
        <v>0</v>
      </c>
      <c r="P92" s="62">
        <f t="shared" si="91"/>
        <v>719264</v>
      </c>
      <c r="Q92" s="62">
        <f t="shared" si="91"/>
        <v>0</v>
      </c>
      <c r="R92" s="62">
        <f t="shared" si="91"/>
        <v>719264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5289</v>
      </c>
      <c r="D93" s="62">
        <f t="shared" si="89"/>
        <v>0</v>
      </c>
      <c r="E93" s="62">
        <f t="shared" si="89"/>
        <v>0</v>
      </c>
      <c r="F93" s="62">
        <f t="shared" si="89"/>
        <v>5289</v>
      </c>
      <c r="H93" s="62">
        <f t="shared" si="90"/>
        <v>0</v>
      </c>
      <c r="I93" s="62">
        <f t="shared" si="90"/>
        <v>349779.20000000001</v>
      </c>
      <c r="J93" s="62">
        <f t="shared" si="90"/>
        <v>0</v>
      </c>
      <c r="K93" s="62">
        <f t="shared" si="90"/>
        <v>0</v>
      </c>
      <c r="L93" s="62">
        <f t="shared" si="90"/>
        <v>349779.20000000001</v>
      </c>
      <c r="N93" s="62">
        <f t="shared" si="91"/>
        <v>0</v>
      </c>
      <c r="O93" s="62">
        <f t="shared" si="91"/>
        <v>355068.2</v>
      </c>
      <c r="P93" s="62">
        <f t="shared" si="91"/>
        <v>0</v>
      </c>
      <c r="Q93" s="62">
        <f t="shared" si="91"/>
        <v>0</v>
      </c>
      <c r="R93" s="62">
        <f t="shared" si="91"/>
        <v>355068.2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47700</v>
      </c>
      <c r="D94" s="62">
        <f t="shared" si="89"/>
        <v>0</v>
      </c>
      <c r="E94" s="62">
        <f t="shared" si="89"/>
        <v>0</v>
      </c>
      <c r="F94" s="62">
        <f t="shared" si="89"/>
        <v>47700</v>
      </c>
      <c r="H94" s="62">
        <f t="shared" si="90"/>
        <v>0</v>
      </c>
      <c r="I94" s="62">
        <f t="shared" si="90"/>
        <v>34200</v>
      </c>
      <c r="J94" s="62">
        <f t="shared" si="90"/>
        <v>0</v>
      </c>
      <c r="K94" s="62">
        <f t="shared" si="90"/>
        <v>0</v>
      </c>
      <c r="L94" s="62">
        <f t="shared" si="90"/>
        <v>34200</v>
      </c>
      <c r="N94" s="62">
        <f t="shared" si="91"/>
        <v>0</v>
      </c>
      <c r="O94" s="62">
        <f t="shared" si="91"/>
        <v>81900</v>
      </c>
      <c r="P94" s="62">
        <f t="shared" si="91"/>
        <v>0</v>
      </c>
      <c r="Q94" s="62">
        <f t="shared" si="91"/>
        <v>0</v>
      </c>
      <c r="R94" s="62">
        <f t="shared" si="91"/>
        <v>81900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14465</v>
      </c>
      <c r="D95" s="62">
        <f t="shared" si="89"/>
        <v>0</v>
      </c>
      <c r="E95" s="62">
        <f t="shared" si="89"/>
        <v>0</v>
      </c>
      <c r="F95" s="62">
        <f t="shared" si="89"/>
        <v>14465</v>
      </c>
      <c r="H95" s="62">
        <f t="shared" si="90"/>
        <v>0</v>
      </c>
      <c r="I95" s="62">
        <f t="shared" si="90"/>
        <v>82182.239999999991</v>
      </c>
      <c r="J95" s="62">
        <f t="shared" si="90"/>
        <v>0</v>
      </c>
      <c r="K95" s="62">
        <f t="shared" si="90"/>
        <v>0</v>
      </c>
      <c r="L95" s="62">
        <f t="shared" si="90"/>
        <v>82182.239999999991</v>
      </c>
      <c r="N95" s="62">
        <f t="shared" si="91"/>
        <v>0</v>
      </c>
      <c r="O95" s="62">
        <f t="shared" si="91"/>
        <v>96647.239999999991</v>
      </c>
      <c r="P95" s="62">
        <f t="shared" si="91"/>
        <v>0</v>
      </c>
      <c r="Q95" s="62">
        <f t="shared" si="91"/>
        <v>0</v>
      </c>
      <c r="R95" s="62">
        <f t="shared" si="91"/>
        <v>96647.239999999991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7567608</v>
      </c>
      <c r="C100" s="69">
        <f t="shared" ref="C100:E100" si="92">SUM(C88:C99)</f>
        <v>67454</v>
      </c>
      <c r="D100" s="69">
        <f t="shared" si="92"/>
        <v>457524</v>
      </c>
      <c r="E100" s="69">
        <f t="shared" si="92"/>
        <v>62748.000000000007</v>
      </c>
      <c r="F100" s="69">
        <f>SUM(F88:F89)</f>
        <v>7641732</v>
      </c>
      <c r="H100" s="69">
        <f>SUM(H88:H99)</f>
        <v>7567608</v>
      </c>
      <c r="I100" s="69">
        <f t="shared" ref="I100:K100" si="93">SUM(I88:I99)</f>
        <v>466161.44</v>
      </c>
      <c r="J100" s="69">
        <f t="shared" si="93"/>
        <v>598672</v>
      </c>
      <c r="K100" s="69">
        <f t="shared" si="93"/>
        <v>350044.2</v>
      </c>
      <c r="L100" s="69">
        <f>SUM(L88:L89)</f>
        <v>7567608</v>
      </c>
      <c r="N100" s="69">
        <f>SUM(N88:N99)</f>
        <v>15135216</v>
      </c>
      <c r="O100" s="69">
        <f t="shared" ref="O100:Q100" si="94">SUM(O88:O99)</f>
        <v>533615.43999999994</v>
      </c>
      <c r="P100" s="69">
        <f t="shared" si="94"/>
        <v>1056196</v>
      </c>
      <c r="Q100" s="69">
        <f t="shared" si="94"/>
        <v>412792.2</v>
      </c>
      <c r="R100" s="69">
        <f>SUM(R88:R89)</f>
        <v>15209340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'FY27'!B104*1.013</f>
        <v>122703.27309520717</v>
      </c>
      <c r="C104" s="7">
        <f>'FY27'!C104*1.013</f>
        <v>0</v>
      </c>
      <c r="D104" s="7"/>
      <c r="E104" s="7"/>
      <c r="F104" s="7">
        <f t="shared" ref="F104:F116" si="101">SUM(B104:E104)</f>
        <v>122703.27309520717</v>
      </c>
      <c r="H104" s="7">
        <f>100000*1.02*1.013*1.013*1.03</f>
        <v>107809.31513999998</v>
      </c>
      <c r="I104" s="7"/>
      <c r="J104" s="7"/>
      <c r="K104" s="7"/>
      <c r="L104" s="7">
        <f t="shared" ref="L104:L116" si="102">SUM(H104:K104)</f>
        <v>107809.31513999998</v>
      </c>
      <c r="N104" s="7">
        <f>B104+H104</f>
        <v>230512.58823520713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230512.58823520713</v>
      </c>
    </row>
    <row r="105" spans="1:18" x14ac:dyDescent="0.35">
      <c r="A105" s="63" t="s">
        <v>61</v>
      </c>
      <c r="B105" s="7">
        <f>'FY27'!B105*1.013</f>
        <v>165152.84654885528</v>
      </c>
      <c r="C105" s="7">
        <f>'FY27'!C105*1.013</f>
        <v>0</v>
      </c>
      <c r="D105" s="7"/>
      <c r="E105" s="7"/>
      <c r="F105" s="7">
        <f t="shared" si="101"/>
        <v>165152.84654885528</v>
      </c>
      <c r="H105" s="7">
        <f>(75000+80000)*1.013*1.02*1.013*1.013*1.013</f>
        <v>166482.90729829404</v>
      </c>
      <c r="I105" s="7"/>
      <c r="J105" s="7"/>
      <c r="K105" s="7"/>
      <c r="L105" s="7">
        <f t="shared" si="102"/>
        <v>166482.90729829404</v>
      </c>
      <c r="N105" s="7">
        <f t="shared" ref="N105:N116" si="104">B105+H105</f>
        <v>331635.75384714932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331635.75384714932</v>
      </c>
    </row>
    <row r="106" spans="1:18" x14ac:dyDescent="0.35">
      <c r="A106" s="63" t="s">
        <v>33</v>
      </c>
      <c r="B106" s="7">
        <f>'FY27'!B106*1.013</f>
        <v>64638.331362653778</v>
      </c>
      <c r="C106" s="7">
        <f>'FY27'!C106*1.013</f>
        <v>0</v>
      </c>
      <c r="D106" s="7"/>
      <c r="E106" s="7"/>
      <c r="F106" s="7">
        <f t="shared" si="101"/>
        <v>64638.331362653778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64638.331362653778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64638.331362653778</v>
      </c>
    </row>
    <row r="107" spans="1:18" x14ac:dyDescent="0.35">
      <c r="A107" s="63" t="s">
        <v>408</v>
      </c>
      <c r="B107" s="7">
        <f>'FY27'!B107*1.013</f>
        <v>70116.156054404084</v>
      </c>
      <c r="C107" s="7">
        <f>'FY27'!C107*1.013</f>
        <v>0</v>
      </c>
      <c r="D107" s="7"/>
      <c r="E107" s="7"/>
      <c r="F107" s="7">
        <f t="shared" si="101"/>
        <v>70116.156054404084</v>
      </c>
      <c r="H107" s="7">
        <v>0</v>
      </c>
      <c r="I107" s="7">
        <f>55000*1.02*1.013*1.013*1.013</f>
        <v>58316.465951699982</v>
      </c>
      <c r="J107" s="7"/>
      <c r="K107" s="7"/>
      <c r="L107" s="7">
        <f t="shared" si="102"/>
        <v>58316.465951699982</v>
      </c>
      <c r="N107" s="7">
        <f t="shared" si="104"/>
        <v>70116.156054404084</v>
      </c>
      <c r="O107" s="7">
        <f t="shared" si="103"/>
        <v>58316.465951699982</v>
      </c>
      <c r="P107" s="7">
        <f t="shared" si="103"/>
        <v>0</v>
      </c>
      <c r="Q107" s="7">
        <f t="shared" si="103"/>
        <v>0</v>
      </c>
      <c r="R107" s="7">
        <f t="shared" si="105"/>
        <v>128432.62200610407</v>
      </c>
    </row>
    <row r="108" spans="1:18" x14ac:dyDescent="0.35">
      <c r="A108" s="63" t="s">
        <v>63</v>
      </c>
      <c r="B108" s="7">
        <f>'FY27'!B108*1.013</f>
        <v>0</v>
      </c>
      <c r="C108" s="7">
        <f>'FY27'!C108*1.013</f>
        <v>73402.850869454298</v>
      </c>
      <c r="D108" s="7"/>
      <c r="E108" s="7"/>
      <c r="F108" s="7">
        <f t="shared" si="101"/>
        <v>73402.850869454298</v>
      </c>
      <c r="H108" s="7">
        <v>0</v>
      </c>
      <c r="I108" s="7">
        <f>57000*1.013*1.013*1.013</f>
        <v>59252.024228999981</v>
      </c>
      <c r="J108" s="7"/>
      <c r="K108" s="7"/>
      <c r="L108" s="7">
        <f t="shared" si="102"/>
        <v>59252.024228999981</v>
      </c>
      <c r="N108" s="7">
        <f t="shared" si="104"/>
        <v>0</v>
      </c>
      <c r="O108" s="7">
        <f t="shared" si="103"/>
        <v>132654.87509845427</v>
      </c>
      <c r="P108" s="7">
        <f t="shared" si="103"/>
        <v>0</v>
      </c>
      <c r="Q108" s="7">
        <f t="shared" si="103"/>
        <v>0</v>
      </c>
      <c r="R108" s="7">
        <f t="shared" si="105"/>
        <v>132654.87509845427</v>
      </c>
    </row>
    <row r="109" spans="1:18" x14ac:dyDescent="0.35">
      <c r="A109" s="63" t="s">
        <v>64</v>
      </c>
      <c r="B109" s="7">
        <f>50500*B39</f>
        <v>2121000</v>
      </c>
      <c r="C109" s="7"/>
      <c r="D109" s="7"/>
      <c r="E109" s="7"/>
      <c r="F109" s="7">
        <f t="shared" si="101"/>
        <v>2121000</v>
      </c>
      <c r="G109" s="187">
        <v>47850</v>
      </c>
      <c r="H109" s="7">
        <f>46850*H39</f>
        <v>1920850</v>
      </c>
      <c r="I109" s="7"/>
      <c r="J109" s="7"/>
      <c r="K109" s="7"/>
      <c r="L109" s="7">
        <f t="shared" si="102"/>
        <v>1920850</v>
      </c>
      <c r="M109" s="187">
        <v>46215</v>
      </c>
      <c r="N109" s="7">
        <f t="shared" si="104"/>
        <v>4041850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4041850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50500*D30</f>
        <v>176750</v>
      </c>
      <c r="E111" s="7"/>
      <c r="F111" s="7">
        <f t="shared" si="101"/>
        <v>176750</v>
      </c>
      <c r="H111" s="7">
        <f>43000*H30</f>
        <v>0</v>
      </c>
      <c r="I111" s="7"/>
      <c r="J111" s="7">
        <f>46850*J30</f>
        <v>327950</v>
      </c>
      <c r="K111" s="7"/>
      <c r="L111" s="7">
        <f t="shared" si="102"/>
        <v>327950</v>
      </c>
      <c r="N111" s="7">
        <f t="shared" si="104"/>
        <v>0</v>
      </c>
      <c r="O111" s="7">
        <f t="shared" si="103"/>
        <v>0</v>
      </c>
      <c r="P111" s="7">
        <f t="shared" si="103"/>
        <v>504700</v>
      </c>
      <c r="Q111" s="7">
        <f t="shared" si="103"/>
        <v>0</v>
      </c>
      <c r="R111" s="7">
        <f t="shared" si="105"/>
        <v>504700</v>
      </c>
    </row>
    <row r="112" spans="1:18" x14ac:dyDescent="0.35">
      <c r="A112" s="63" t="s">
        <v>67</v>
      </c>
      <c r="B112" s="7">
        <f>'FY27'!B112*1.013</f>
        <v>114938.06348017321</v>
      </c>
      <c r="C112" s="7"/>
      <c r="D112" s="7"/>
      <c r="E112" s="7"/>
      <c r="F112" s="7">
        <f t="shared" si="101"/>
        <v>114938.06348017321</v>
      </c>
      <c r="H112" s="7">
        <f>((47840+37440)*1.015*1.013*1.02*1.013*1.013)</f>
        <v>91778.666174661616</v>
      </c>
      <c r="I112" s="7"/>
      <c r="J112" s="7"/>
      <c r="K112" s="7"/>
      <c r="L112" s="7">
        <f t="shared" si="102"/>
        <v>91778.666174661616</v>
      </c>
      <c r="N112" s="7">
        <f t="shared" si="104"/>
        <v>206716.72965483484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206716.72965483484</v>
      </c>
    </row>
    <row r="113" spans="1:18" x14ac:dyDescent="0.35">
      <c r="A113" s="63" t="s">
        <v>68</v>
      </c>
      <c r="B113" s="7">
        <f>(15.25*8*190)*(B50+B51)</f>
        <v>46360</v>
      </c>
      <c r="C113" s="7"/>
      <c r="D113" s="7"/>
      <c r="E113" s="7"/>
      <c r="F113" s="7">
        <f t="shared" si="101"/>
        <v>46360</v>
      </c>
      <c r="H113" s="7">
        <f>(14.75*8*190)*(H50+H51)</f>
        <v>44840</v>
      </c>
      <c r="I113" s="7"/>
      <c r="J113" s="7"/>
      <c r="K113" s="7"/>
      <c r="L113" s="7">
        <f t="shared" si="102"/>
        <v>44840</v>
      </c>
      <c r="N113" s="7">
        <f t="shared" si="104"/>
        <v>91200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91200</v>
      </c>
    </row>
    <row r="114" spans="1:18" x14ac:dyDescent="0.35">
      <c r="A114" s="63" t="s">
        <v>69</v>
      </c>
      <c r="B114" s="7">
        <f>(12.75*8*180)*B52</f>
        <v>0</v>
      </c>
      <c r="C114" s="7">
        <f>(14.25*8*180)*C52</f>
        <v>82080</v>
      </c>
      <c r="D114" s="7">
        <f>(14.25*8*180)*D52</f>
        <v>61560</v>
      </c>
      <c r="E114" s="7"/>
      <c r="F114" s="7">
        <f t="shared" si="101"/>
        <v>143640</v>
      </c>
      <c r="H114" s="7">
        <f>(12.75*8*180)*H52</f>
        <v>0</v>
      </c>
      <c r="I114" s="7">
        <f>(14*8*180)*I52</f>
        <v>120960</v>
      </c>
      <c r="J114" s="7">
        <f>(14*8*180)*J52</f>
        <v>80640</v>
      </c>
      <c r="K114" s="7"/>
      <c r="L114" s="7">
        <f t="shared" si="102"/>
        <v>201600</v>
      </c>
      <c r="N114" s="7">
        <f t="shared" si="104"/>
        <v>0</v>
      </c>
      <c r="O114" s="7">
        <f t="shared" si="103"/>
        <v>203040</v>
      </c>
      <c r="P114" s="7">
        <f t="shared" si="103"/>
        <v>142200</v>
      </c>
      <c r="Q114" s="7">
        <f t="shared" si="103"/>
        <v>0</v>
      </c>
      <c r="R114" s="7">
        <f t="shared" si="105"/>
        <v>345240</v>
      </c>
    </row>
    <row r="115" spans="1:18" x14ac:dyDescent="0.35">
      <c r="A115" s="63" t="s">
        <v>70</v>
      </c>
      <c r="B115" s="15">
        <f>(26.5*8*240)</f>
        <v>50880</v>
      </c>
      <c r="C115" s="7"/>
      <c r="D115" s="7"/>
      <c r="E115" s="7"/>
      <c r="F115" s="7">
        <f t="shared" si="101"/>
        <v>50880</v>
      </c>
      <c r="H115" s="15">
        <f>(26.25*8*240)</f>
        <v>50400</v>
      </c>
      <c r="I115" s="7"/>
      <c r="J115" s="7"/>
      <c r="K115" s="7"/>
      <c r="L115" s="7">
        <f t="shared" si="102"/>
        <v>50400</v>
      </c>
      <c r="N115" s="7">
        <f t="shared" si="104"/>
        <v>101280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101280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2755788.6705412935</v>
      </c>
      <c r="C117" s="83">
        <f t="shared" ref="C117:F117" si="106">SUM(C104:C116)</f>
        <v>155482.8508694543</v>
      </c>
      <c r="D117" s="83">
        <f t="shared" si="106"/>
        <v>238310</v>
      </c>
      <c r="E117" s="83">
        <f t="shared" si="106"/>
        <v>0</v>
      </c>
      <c r="F117" s="83">
        <f t="shared" si="106"/>
        <v>3149581.5214107479</v>
      </c>
      <c r="H117" s="83">
        <f>SUM(H104:H116)</f>
        <v>2382160.8886129558</v>
      </c>
      <c r="I117" s="83">
        <f t="shared" ref="I117:L117" si="107">SUM(I104:I116)</f>
        <v>238528.49018069997</v>
      </c>
      <c r="J117" s="83">
        <f t="shared" si="107"/>
        <v>408590</v>
      </c>
      <c r="K117" s="83">
        <f t="shared" si="107"/>
        <v>0</v>
      </c>
      <c r="L117" s="83">
        <f t="shared" si="107"/>
        <v>3029279.3787936559</v>
      </c>
      <c r="N117" s="83">
        <f>SUM(N104:N116)</f>
        <v>5137949.5591542488</v>
      </c>
      <c r="O117" s="83">
        <f t="shared" ref="O117:R117" si="108">SUM(O104:O116)</f>
        <v>394011.34105015424</v>
      </c>
      <c r="P117" s="83">
        <f t="shared" si="108"/>
        <v>646900</v>
      </c>
      <c r="Q117" s="83">
        <f t="shared" si="108"/>
        <v>0</v>
      </c>
      <c r="R117" s="83">
        <f t="shared" si="108"/>
        <v>6178860.9002044033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'FY27'!D121*1.013</f>
        <v>53134.899509978102</v>
      </c>
      <c r="E121" s="7"/>
      <c r="F121" s="7">
        <f t="shared" si="115"/>
        <v>53134.899509978102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53134.899509978102</v>
      </c>
      <c r="Q121" s="7">
        <f t="shared" si="117"/>
        <v>0</v>
      </c>
      <c r="R121" s="7">
        <f t="shared" si="118"/>
        <v>53134.899509978102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'FY27'!C125*1.013</f>
        <v>56969.37679420333</v>
      </c>
      <c r="D125" s="7"/>
      <c r="E125" s="7"/>
      <c r="F125" s="7">
        <f t="shared" si="115"/>
        <v>56969.37679420333</v>
      </c>
      <c r="H125" s="7">
        <v>0</v>
      </c>
      <c r="I125" s="7">
        <f>52000*1.013*1.02*1.013*1.013*1.013</f>
        <v>55852.33019039542</v>
      </c>
      <c r="J125" s="7"/>
      <c r="K125" s="7"/>
      <c r="L125" s="7">
        <f t="shared" si="116"/>
        <v>55852.33019039542</v>
      </c>
      <c r="N125" s="7">
        <f t="shared" si="119"/>
        <v>0</v>
      </c>
      <c r="O125" s="7">
        <f t="shared" si="117"/>
        <v>112821.70698459874</v>
      </c>
      <c r="P125" s="7">
        <f t="shared" si="117"/>
        <v>0</v>
      </c>
      <c r="Q125" s="7">
        <f t="shared" si="117"/>
        <v>0</v>
      </c>
      <c r="R125" s="7">
        <f t="shared" si="118"/>
        <v>112821.70698459874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(14.5*6*185)*E54</f>
        <v>16095</v>
      </c>
      <c r="F127" s="7">
        <f t="shared" si="115"/>
        <v>16095</v>
      </c>
      <c r="H127" s="150"/>
      <c r="I127" s="7">
        <f t="shared" ref="I127" si="121">(12.5*6*185)*I54</f>
        <v>0</v>
      </c>
      <c r="J127" s="150"/>
      <c r="K127" s="7">
        <f>(14*8*185)*K54</f>
        <v>20720</v>
      </c>
      <c r="L127" s="7">
        <f t="shared" si="116"/>
        <v>20720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36815</v>
      </c>
      <c r="R127" s="7">
        <f t="shared" si="118"/>
        <v>36815</v>
      </c>
    </row>
    <row r="128" spans="1:18" x14ac:dyDescent="0.35">
      <c r="A128" s="63" t="s">
        <v>78</v>
      </c>
      <c r="B128" s="37">
        <f>130*180</f>
        <v>23400</v>
      </c>
      <c r="C128" s="37"/>
      <c r="D128" s="37"/>
      <c r="E128" s="37"/>
      <c r="F128" s="7">
        <f t="shared" si="115"/>
        <v>23400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45900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45900</v>
      </c>
    </row>
    <row r="129" spans="1:18" ht="15" thickBot="1" x14ac:dyDescent="0.4">
      <c r="A129" s="82" t="s">
        <v>79</v>
      </c>
      <c r="B129" s="87">
        <f>SUM(B119:B128)</f>
        <v>23400</v>
      </c>
      <c r="C129" s="87">
        <f t="shared" ref="C129" si="122">SUM(C119:C128)</f>
        <v>56969.37679420333</v>
      </c>
      <c r="D129" s="87">
        <f>SUM(D119:D128)</f>
        <v>53134.899509978102</v>
      </c>
      <c r="E129" s="87">
        <f t="shared" ref="E129:F129" si="123">SUM(E119:E128)</f>
        <v>16095</v>
      </c>
      <c r="F129" s="87">
        <f t="shared" si="123"/>
        <v>149599.27630418143</v>
      </c>
      <c r="H129" s="87">
        <f>SUM(H119:H128)</f>
        <v>22500</v>
      </c>
      <c r="I129" s="87">
        <f t="shared" ref="I129" si="124">SUM(I119:I128)</f>
        <v>55852.33019039542</v>
      </c>
      <c r="J129" s="87">
        <f>SUM(J119:J128)</f>
        <v>0</v>
      </c>
      <c r="K129" s="87">
        <f t="shared" ref="K129:L129" si="125">SUM(K119:K128)</f>
        <v>20720</v>
      </c>
      <c r="L129" s="87">
        <f t="shared" si="125"/>
        <v>99072.330190395413</v>
      </c>
      <c r="N129" s="87">
        <f>SUM(N119:N128)</f>
        <v>45900</v>
      </c>
      <c r="O129" s="87">
        <f t="shared" ref="O129" si="126">SUM(O119:O128)</f>
        <v>112821.70698459874</v>
      </c>
      <c r="P129" s="87">
        <f>SUM(P119:P128)</f>
        <v>53134.899509978102</v>
      </c>
      <c r="Q129" s="87">
        <f t="shared" ref="Q129:R129" si="127">SUM(Q119:Q128)</f>
        <v>36815</v>
      </c>
      <c r="R129" s="87">
        <f t="shared" si="127"/>
        <v>248671.60649457684</v>
      </c>
    </row>
    <row r="130" spans="1:18" ht="15" thickBot="1" x14ac:dyDescent="0.4">
      <c r="A130" s="89" t="s">
        <v>80</v>
      </c>
      <c r="B130" s="90">
        <f>B117+B129</f>
        <v>2779188.6705412935</v>
      </c>
      <c r="C130" s="90">
        <f t="shared" ref="C130" si="128">C117+C129</f>
        <v>212452.22766365763</v>
      </c>
      <c r="D130" s="90">
        <f>D117+D129</f>
        <v>291444.89950997813</v>
      </c>
      <c r="E130" s="90">
        <f t="shared" ref="E130:F130" si="129">E117+E129</f>
        <v>16095</v>
      </c>
      <c r="F130" s="90">
        <f t="shared" si="129"/>
        <v>3299180.7977149291</v>
      </c>
      <c r="H130" s="90">
        <f>H117+H129</f>
        <v>2404660.8886129558</v>
      </c>
      <c r="I130" s="90">
        <f t="shared" ref="I130" si="130">I117+I129</f>
        <v>294380.82037109538</v>
      </c>
      <c r="J130" s="90">
        <f>J117+J129</f>
        <v>408590</v>
      </c>
      <c r="K130" s="90">
        <f t="shared" ref="K130:L130" si="131">K117+K129</f>
        <v>20720</v>
      </c>
      <c r="L130" s="90">
        <f t="shared" si="131"/>
        <v>3128351.7089840514</v>
      </c>
      <c r="N130" s="90">
        <f>N117+N129</f>
        <v>5183849.5591542488</v>
      </c>
      <c r="O130" s="90">
        <f t="shared" ref="O130" si="132">O117+O129</f>
        <v>506833.04803475295</v>
      </c>
      <c r="P130" s="90">
        <f>P117+P129</f>
        <v>700034.89950997813</v>
      </c>
      <c r="Q130" s="90">
        <f t="shared" ref="Q130:R130" si="133">Q117+Q129</f>
        <v>36815</v>
      </c>
      <c r="R130" s="90">
        <f t="shared" si="133"/>
        <v>6427532.50669898</v>
      </c>
    </row>
    <row r="131" spans="1:18" x14ac:dyDescent="0.35">
      <c r="A131" s="63" t="s">
        <v>217</v>
      </c>
      <c r="B131" s="62">
        <f>B130*0.2975</f>
        <v>826808.62948603474</v>
      </c>
      <c r="C131" s="62">
        <f t="shared" ref="C131" si="134">C130*0.2975</f>
        <v>63204.537729938143</v>
      </c>
      <c r="D131" s="62">
        <f>D130*0.2975</f>
        <v>86704.857604218487</v>
      </c>
      <c r="E131" s="62">
        <f t="shared" ref="E131" si="135">E130*0.2975</f>
        <v>4788.2624999999998</v>
      </c>
      <c r="F131" s="62">
        <f>F130*0.2975</f>
        <v>981506.28732019139</v>
      </c>
      <c r="H131" s="62">
        <f>H130*0.2975</f>
        <v>715386.61436235427</v>
      </c>
      <c r="I131" s="62">
        <f t="shared" ref="I131" si="136">I130*0.2975</f>
        <v>87578.294060400876</v>
      </c>
      <c r="J131" s="62">
        <f>J130*0.2975</f>
        <v>121555.52499999999</v>
      </c>
      <c r="K131" s="62">
        <f t="shared" ref="K131" si="137">K130*0.2975</f>
        <v>6164.2</v>
      </c>
      <c r="L131" s="62">
        <f>L130*0.2975</f>
        <v>930684.63342275529</v>
      </c>
      <c r="N131" s="7">
        <f>B131+H131</f>
        <v>1542195.243848389</v>
      </c>
      <c r="O131" s="7">
        <f t="shared" ref="O131:Q136" si="138">C131+I131</f>
        <v>150782.83179033903</v>
      </c>
      <c r="P131" s="7">
        <f t="shared" si="138"/>
        <v>208260.3826042185</v>
      </c>
      <c r="Q131" s="7">
        <f t="shared" si="138"/>
        <v>10952.4625</v>
      </c>
      <c r="R131" s="152">
        <f t="shared" ref="R131:R136" si="139">SUM(N131:Q131)</f>
        <v>1912190.9207429464</v>
      </c>
    </row>
    <row r="132" spans="1:18" x14ac:dyDescent="0.35">
      <c r="A132" s="63" t="s">
        <v>81</v>
      </c>
      <c r="B132" s="7">
        <f>B130*0.195</f>
        <v>541941.79075555224</v>
      </c>
      <c r="C132" s="7">
        <f t="shared" ref="C132:E132" si="140">C130*0.195</f>
        <v>41428.184394413242</v>
      </c>
      <c r="D132" s="7">
        <f t="shared" si="140"/>
        <v>56831.755404445736</v>
      </c>
      <c r="E132" s="7">
        <f t="shared" si="140"/>
        <v>3138.5250000000001</v>
      </c>
      <c r="F132" s="7">
        <f>SUM(B132:E132)</f>
        <v>643340.25555441121</v>
      </c>
      <c r="H132" s="7">
        <f>H130*0.195</f>
        <v>468908.87327952642</v>
      </c>
      <c r="I132" s="7">
        <f t="shared" ref="I132:K132" si="141">I130*0.195</f>
        <v>57404.259972363601</v>
      </c>
      <c r="J132" s="7">
        <f t="shared" si="141"/>
        <v>79675.05</v>
      </c>
      <c r="K132" s="7">
        <f t="shared" si="141"/>
        <v>4040.4</v>
      </c>
      <c r="L132" s="7">
        <f>SUM(H132:K132)</f>
        <v>610028.58325189014</v>
      </c>
      <c r="N132" s="7">
        <f t="shared" ref="N132:N136" si="142">B132+H132</f>
        <v>1010850.6640350786</v>
      </c>
      <c r="O132" s="7">
        <f t="shared" si="138"/>
        <v>98832.44436677685</v>
      </c>
      <c r="P132" s="7">
        <f t="shared" si="138"/>
        <v>136506.80540444574</v>
      </c>
      <c r="Q132" s="7">
        <f t="shared" si="138"/>
        <v>7178.9250000000002</v>
      </c>
      <c r="R132" s="152">
        <f t="shared" si="139"/>
        <v>1253368.8388063011</v>
      </c>
    </row>
    <row r="133" spans="1:18" x14ac:dyDescent="0.35">
      <c r="A133" s="63" t="s">
        <v>82</v>
      </c>
      <c r="B133" s="7">
        <f>'FY27'!B133*1.013</f>
        <v>62849.521483057528</v>
      </c>
      <c r="C133" s="7">
        <f>'FY27'!C133*1.013</f>
        <v>4488.2472795190188</v>
      </c>
      <c r="D133" s="7">
        <f>'FY27'!D133*1.013</f>
        <v>6245.6935034270691</v>
      </c>
      <c r="E133" s="7">
        <f>'FY27'!E133*1.013</f>
        <v>459.63978163748993</v>
      </c>
      <c r="F133" s="152">
        <f>SUM(B133:E133)</f>
        <v>74043.102047641107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(125*H67)+(((H42*2000)+(H43*1500)+(H44*1200)+(H46*1200)+(H47*1200)+(H48*1000)+(H49*1000)+(H50*300)+(H51*300)+(H52*300)+(H53*300)+(H54*300)+(H56*1000)+(H57*1000)+(H58*1000)+(H59*1000)+(H60*1000)+(H61*1000)+(H39*1000)+(1000*H55))*0.9)</f>
        <v>51340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4850</v>
      </c>
      <c r="J133" s="152">
        <f t="shared" si="143"/>
        <v>8755</v>
      </c>
      <c r="K133" s="152">
        <f t="shared" si="143"/>
        <v>395</v>
      </c>
      <c r="L133" s="152">
        <f>SUM(H133:K133)</f>
        <v>65340</v>
      </c>
      <c r="N133" s="7">
        <f t="shared" si="142"/>
        <v>114189.52148305753</v>
      </c>
      <c r="O133" s="7">
        <f t="shared" si="138"/>
        <v>9338.2472795190188</v>
      </c>
      <c r="P133" s="7">
        <f t="shared" si="138"/>
        <v>15000.693503427068</v>
      </c>
      <c r="Q133" s="7">
        <f t="shared" si="138"/>
        <v>854.63978163748993</v>
      </c>
      <c r="R133" s="152">
        <f t="shared" si="139"/>
        <v>139383.10204764109</v>
      </c>
    </row>
    <row r="134" spans="1:18" x14ac:dyDescent="0.35">
      <c r="A134" s="63" t="s">
        <v>83</v>
      </c>
      <c r="B134" s="94"/>
      <c r="C134" s="94"/>
      <c r="D134" s="94"/>
      <c r="E134" s="94"/>
      <c r="F134" s="152">
        <f t="shared" ref="F134:F135" si="144">SUM(B134:E134)</f>
        <v>0</v>
      </c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si="139"/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152">
        <f t="shared" si="144"/>
        <v>7200</v>
      </c>
      <c r="H135" s="7">
        <f>1800*4</f>
        <v>7200</v>
      </c>
      <c r="I135" s="7"/>
      <c r="J135" s="7"/>
      <c r="K135" s="7"/>
      <c r="L135" s="7">
        <f t="shared" ref="L135" si="145">1800*3</f>
        <v>5400</v>
      </c>
      <c r="N135" s="7">
        <f t="shared" si="142"/>
        <v>14400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39"/>
        <v>14400</v>
      </c>
    </row>
    <row r="136" spans="1:18" x14ac:dyDescent="0.35">
      <c r="A136" s="63" t="s">
        <v>218</v>
      </c>
      <c r="B136" s="37">
        <f>(175*10*B39)-B128</f>
        <v>50100</v>
      </c>
      <c r="C136" s="37">
        <f t="shared" ref="C136:E136" si="146">(175*10*C39)-C128</f>
        <v>0</v>
      </c>
      <c r="D136" s="37">
        <f t="shared" si="146"/>
        <v>6125</v>
      </c>
      <c r="E136" s="37">
        <f t="shared" si="146"/>
        <v>0</v>
      </c>
      <c r="F136" s="37">
        <f t="shared" ref="F136" si="147">(165*10*F39)-F128</f>
        <v>51675</v>
      </c>
      <c r="H136" s="37">
        <f>(175*10*H39)-H128</f>
        <v>49250</v>
      </c>
      <c r="I136" s="37">
        <f t="shared" ref="I136:K136" si="148">(175*10*I39)-I128</f>
        <v>0</v>
      </c>
      <c r="J136" s="37">
        <f t="shared" si="148"/>
        <v>12250</v>
      </c>
      <c r="K136" s="37">
        <f t="shared" si="148"/>
        <v>0</v>
      </c>
      <c r="L136" s="37">
        <f t="shared" ref="L136" si="149">(165*10*L39)-L128</f>
        <v>56700</v>
      </c>
      <c r="N136" s="7">
        <f t="shared" si="142"/>
        <v>99350</v>
      </c>
      <c r="O136" s="7">
        <f t="shared" si="138"/>
        <v>0</v>
      </c>
      <c r="P136" s="7">
        <f t="shared" si="138"/>
        <v>18375</v>
      </c>
      <c r="Q136" s="7">
        <f t="shared" si="138"/>
        <v>0</v>
      </c>
      <c r="R136" s="152">
        <f t="shared" si="139"/>
        <v>117725</v>
      </c>
    </row>
    <row r="137" spans="1:18" ht="15" thickBot="1" x14ac:dyDescent="0.4">
      <c r="A137" s="91" t="s">
        <v>85</v>
      </c>
      <c r="B137" s="87">
        <f>SUM(B131:B136)</f>
        <v>1488899.9417246445</v>
      </c>
      <c r="C137" s="87">
        <f t="shared" ref="C137" si="150">SUM(C131:C136)</f>
        <v>109120.9694038704</v>
      </c>
      <c r="D137" s="87">
        <f>SUM(D131:D136)</f>
        <v>155907.30651209128</v>
      </c>
      <c r="E137" s="87">
        <f t="shared" ref="E137:F137" si="151">SUM(E131:E136)</f>
        <v>8386.4272816374905</v>
      </c>
      <c r="F137" s="87">
        <f t="shared" si="151"/>
        <v>1757764.6449222437</v>
      </c>
      <c r="H137" s="87">
        <f>SUM(H131:H136)</f>
        <v>1292085.4876418808</v>
      </c>
      <c r="I137" s="87">
        <f t="shared" ref="I137" si="152">SUM(I131:I136)</f>
        <v>149832.55403276448</v>
      </c>
      <c r="J137" s="87">
        <f>SUM(J131:J136)</f>
        <v>222235.57500000001</v>
      </c>
      <c r="K137" s="87">
        <f t="shared" ref="K137:L137" si="153">SUM(K131:K136)</f>
        <v>10599.6</v>
      </c>
      <c r="L137" s="87">
        <f t="shared" si="153"/>
        <v>1668153.2166746454</v>
      </c>
      <c r="N137" s="87">
        <f>SUM(N131:N136)</f>
        <v>2780985.4293665253</v>
      </c>
      <c r="O137" s="87">
        <f t="shared" ref="O137" si="154">SUM(O131:O136)</f>
        <v>258953.52343663489</v>
      </c>
      <c r="P137" s="87">
        <f>SUM(P131:P136)</f>
        <v>378142.88151209132</v>
      </c>
      <c r="Q137" s="87">
        <f t="shared" ref="Q137:R137" si="155">SUM(Q131:Q136)</f>
        <v>18986.027281637489</v>
      </c>
      <c r="R137" s="87">
        <f t="shared" si="155"/>
        <v>3437067.8615968889</v>
      </c>
    </row>
    <row r="138" spans="1:18" ht="15" thickBot="1" x14ac:dyDescent="0.4">
      <c r="A138" s="95" t="s">
        <v>86</v>
      </c>
      <c r="B138" s="90">
        <f>B130+B137</f>
        <v>4268088.612265938</v>
      </c>
      <c r="C138" s="90">
        <f t="shared" ref="C138" si="156">C130+C137</f>
        <v>321573.19706752803</v>
      </c>
      <c r="D138" s="90">
        <f>D130+D137</f>
        <v>447352.20602206944</v>
      </c>
      <c r="E138" s="90">
        <f t="shared" ref="E138:F138" si="157">E130+E137</f>
        <v>24481.427281637491</v>
      </c>
      <c r="F138" s="90">
        <f t="shared" si="157"/>
        <v>5056945.4426371725</v>
      </c>
      <c r="H138" s="90">
        <f>H130+H137</f>
        <v>3696746.3762548366</v>
      </c>
      <c r="I138" s="90">
        <f t="shared" ref="I138" si="158">I130+I137</f>
        <v>444213.37440385984</v>
      </c>
      <c r="J138" s="90">
        <f>J130+J137</f>
        <v>630825.57499999995</v>
      </c>
      <c r="K138" s="90">
        <f t="shared" ref="K138:L138" si="159">K130+K137</f>
        <v>31319.599999999999</v>
      </c>
      <c r="L138" s="90">
        <f t="shared" si="159"/>
        <v>4796504.9256586973</v>
      </c>
      <c r="N138" s="90">
        <f>N130+N137</f>
        <v>7964834.9885207741</v>
      </c>
      <c r="O138" s="90">
        <f t="shared" ref="O138" si="160">O130+O137</f>
        <v>765786.57147138787</v>
      </c>
      <c r="P138" s="90">
        <f>P130+P137</f>
        <v>1078177.7810220695</v>
      </c>
      <c r="Q138" s="90">
        <f t="shared" ref="Q138:R138" si="161">Q130+Q137</f>
        <v>55801.027281637493</v>
      </c>
      <c r="R138" s="90">
        <f t="shared" si="161"/>
        <v>9864600.3682958689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2">C1</f>
        <v>Weights</v>
      </c>
      <c r="D139" s="153" t="str">
        <f>D1</f>
        <v>SPED</v>
      </c>
      <c r="E139" s="153" t="str">
        <f t="shared" ref="E139:F139" si="163">E1</f>
        <v>NSLP</v>
      </c>
      <c r="F139" s="153" t="str">
        <f t="shared" si="163"/>
        <v>Mt. Rose</v>
      </c>
      <c r="H139" s="153" t="str">
        <f>H1</f>
        <v>Operating</v>
      </c>
      <c r="I139" s="153" t="str">
        <f t="shared" ref="I139" si="164">I1</f>
        <v>Weights</v>
      </c>
      <c r="J139" s="153" t="str">
        <f>J1</f>
        <v>SPED</v>
      </c>
      <c r="K139" s="153" t="str">
        <f t="shared" ref="K139:L139" si="165">K1</f>
        <v>NSLP</v>
      </c>
      <c r="L139" s="153" t="str">
        <f t="shared" si="165"/>
        <v>New Campus</v>
      </c>
      <c r="N139" s="153" t="str">
        <f>N1</f>
        <v>Operating</v>
      </c>
      <c r="O139" s="153" t="str">
        <f t="shared" ref="O139" si="166">O1</f>
        <v>Weights</v>
      </c>
      <c r="P139" s="153" t="str">
        <f>P1</f>
        <v>SPED</v>
      </c>
      <c r="Q139" s="153" t="str">
        <f t="shared" ref="Q139:R139" si="167">Q1</f>
        <v>NSLP</v>
      </c>
      <c r="R139" s="153" t="str">
        <f t="shared" si="167"/>
        <v>DANN Total</v>
      </c>
    </row>
    <row r="140" spans="1:18" x14ac:dyDescent="0.35">
      <c r="A140" s="98" t="s">
        <v>88</v>
      </c>
      <c r="B140" s="15">
        <f>160*B19</f>
        <v>159360</v>
      </c>
      <c r="C140" s="15"/>
      <c r="D140" s="15"/>
      <c r="E140" s="15"/>
      <c r="F140" s="15">
        <f t="shared" ref="F140:F148" si="168">SUM(B140:E140)</f>
        <v>159360</v>
      </c>
      <c r="H140" s="15">
        <f>160*H19</f>
        <v>159360</v>
      </c>
      <c r="I140" s="15"/>
      <c r="J140" s="15"/>
      <c r="K140" s="15"/>
      <c r="L140" s="15">
        <f t="shared" ref="L140:L148" si="169">SUM(H140:K140)</f>
        <v>159360</v>
      </c>
      <c r="N140" s="7">
        <f t="shared" ref="N140:Q149" si="170">B140+H140</f>
        <v>318720</v>
      </c>
      <c r="O140" s="7">
        <f t="shared" si="170"/>
        <v>0</v>
      </c>
      <c r="P140" s="7">
        <f t="shared" si="170"/>
        <v>0</v>
      </c>
      <c r="Q140" s="7">
        <f t="shared" si="170"/>
        <v>0</v>
      </c>
      <c r="R140" s="15">
        <f t="shared" ref="R140:R148" si="171">SUM(N140:Q140)</f>
        <v>318720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8"/>
        <v>0</v>
      </c>
      <c r="H141" s="7">
        <v>0</v>
      </c>
      <c r="I141" s="7"/>
      <c r="J141" s="7"/>
      <c r="K141" s="7"/>
      <c r="L141" s="15">
        <f t="shared" si="169"/>
        <v>0</v>
      </c>
      <c r="N141" s="7">
        <f t="shared" si="170"/>
        <v>0</v>
      </c>
      <c r="O141" s="7">
        <f t="shared" si="170"/>
        <v>0</v>
      </c>
      <c r="P141" s="7">
        <f t="shared" si="170"/>
        <v>0</v>
      </c>
      <c r="Q141" s="7">
        <f t="shared" si="170"/>
        <v>0</v>
      </c>
      <c r="R141" s="15">
        <f t="shared" si="171"/>
        <v>0</v>
      </c>
    </row>
    <row r="142" spans="1:18" x14ac:dyDescent="0.35">
      <c r="A142" s="63" t="s">
        <v>89</v>
      </c>
      <c r="B142" s="11">
        <v>100000</v>
      </c>
      <c r="C142" s="11"/>
      <c r="D142" s="11"/>
      <c r="E142" s="11"/>
      <c r="F142" s="15">
        <f t="shared" si="168"/>
        <v>100000</v>
      </c>
      <c r="H142" s="11">
        <v>200000</v>
      </c>
      <c r="I142" s="11"/>
      <c r="J142" s="11"/>
      <c r="K142" s="11"/>
      <c r="L142" s="15">
        <f t="shared" si="169"/>
        <v>200000</v>
      </c>
      <c r="N142" s="7">
        <f t="shared" si="170"/>
        <v>300000</v>
      </c>
      <c r="O142" s="7">
        <f t="shared" si="170"/>
        <v>0</v>
      </c>
      <c r="P142" s="7">
        <f t="shared" si="170"/>
        <v>0</v>
      </c>
      <c r="Q142" s="7">
        <f t="shared" si="170"/>
        <v>0</v>
      </c>
      <c r="R142" s="15">
        <f t="shared" si="171"/>
        <v>300000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8"/>
        <v>0</v>
      </c>
      <c r="H143" s="7"/>
      <c r="I143" s="7">
        <v>0</v>
      </c>
      <c r="J143" s="7"/>
      <c r="K143" s="7"/>
      <c r="L143" s="15">
        <f t="shared" si="169"/>
        <v>0</v>
      </c>
      <c r="N143" s="7">
        <f t="shared" si="170"/>
        <v>0</v>
      </c>
      <c r="O143" s="7">
        <f t="shared" si="170"/>
        <v>0</v>
      </c>
      <c r="P143" s="7">
        <f t="shared" si="170"/>
        <v>0</v>
      </c>
      <c r="Q143" s="7">
        <f t="shared" si="170"/>
        <v>0</v>
      </c>
      <c r="R143" s="15">
        <f t="shared" si="171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2">13*C19</f>
        <v>0</v>
      </c>
      <c r="D144" s="7"/>
      <c r="E144" s="7"/>
      <c r="F144" s="15">
        <f t="shared" si="168"/>
        <v>13944</v>
      </c>
      <c r="H144" s="7">
        <f>14*H19</f>
        <v>13944</v>
      </c>
      <c r="I144" s="7">
        <f t="shared" ref="I144" si="173">13*I19</f>
        <v>0</v>
      </c>
      <c r="J144" s="7"/>
      <c r="K144" s="7"/>
      <c r="L144" s="15">
        <f t="shared" si="169"/>
        <v>13944</v>
      </c>
      <c r="N144" s="7">
        <f t="shared" si="170"/>
        <v>27888</v>
      </c>
      <c r="O144" s="7">
        <f t="shared" si="170"/>
        <v>0</v>
      </c>
      <c r="P144" s="7">
        <f t="shared" si="170"/>
        <v>0</v>
      </c>
      <c r="Q144" s="7">
        <f t="shared" si="170"/>
        <v>0</v>
      </c>
      <c r="R144" s="15">
        <f t="shared" si="171"/>
        <v>27888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8"/>
        <v>28884</v>
      </c>
      <c r="H145" s="7">
        <f>(29*H19)</f>
        <v>28884</v>
      </c>
      <c r="I145" s="7">
        <v>0</v>
      </c>
      <c r="J145" s="7"/>
      <c r="K145" s="7"/>
      <c r="L145" s="15">
        <f t="shared" si="169"/>
        <v>28884</v>
      </c>
      <c r="N145" s="7">
        <f t="shared" si="170"/>
        <v>57768</v>
      </c>
      <c r="O145" s="7">
        <f t="shared" si="170"/>
        <v>0</v>
      </c>
      <c r="P145" s="7">
        <f t="shared" si="170"/>
        <v>0</v>
      </c>
      <c r="Q145" s="7">
        <f t="shared" si="170"/>
        <v>0</v>
      </c>
      <c r="R145" s="15">
        <f t="shared" si="171"/>
        <v>57768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4">4*C19</f>
        <v>0</v>
      </c>
      <c r="D146" s="7"/>
      <c r="E146" s="7"/>
      <c r="F146" s="15">
        <f t="shared" si="168"/>
        <v>4233</v>
      </c>
      <c r="H146" s="7">
        <f>4.25*H19</f>
        <v>4233</v>
      </c>
      <c r="I146" s="7">
        <f t="shared" ref="I146" si="175">4*I19</f>
        <v>0</v>
      </c>
      <c r="J146" s="7"/>
      <c r="K146" s="7"/>
      <c r="L146" s="15">
        <f t="shared" si="169"/>
        <v>4233</v>
      </c>
      <c r="N146" s="7">
        <f t="shared" si="170"/>
        <v>8466</v>
      </c>
      <c r="O146" s="7">
        <f t="shared" si="170"/>
        <v>0</v>
      </c>
      <c r="P146" s="7">
        <f t="shared" si="170"/>
        <v>0</v>
      </c>
      <c r="Q146" s="7">
        <f t="shared" si="170"/>
        <v>0</v>
      </c>
      <c r="R146" s="15">
        <f t="shared" si="171"/>
        <v>8466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6">3*C19</f>
        <v>0</v>
      </c>
      <c r="D147" s="7"/>
      <c r="E147" s="7"/>
      <c r="F147" s="15">
        <f t="shared" si="168"/>
        <v>3237</v>
      </c>
      <c r="H147" s="7">
        <f>3.25*H19</f>
        <v>3237</v>
      </c>
      <c r="I147" s="7">
        <f t="shared" ref="I147" si="177">3*I19</f>
        <v>0</v>
      </c>
      <c r="J147" s="7"/>
      <c r="K147" s="7"/>
      <c r="L147" s="15">
        <f t="shared" si="169"/>
        <v>3237</v>
      </c>
      <c r="N147" s="7">
        <f t="shared" si="170"/>
        <v>6474</v>
      </c>
      <c r="O147" s="7">
        <f t="shared" si="170"/>
        <v>0</v>
      </c>
      <c r="P147" s="7">
        <f t="shared" si="170"/>
        <v>0</v>
      </c>
      <c r="Q147" s="7">
        <f t="shared" si="170"/>
        <v>0</v>
      </c>
      <c r="R147" s="15">
        <f t="shared" si="171"/>
        <v>6474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8">120*C22</f>
        <v>0</v>
      </c>
      <c r="D148" s="7">
        <f>129*D22</f>
        <v>13932</v>
      </c>
      <c r="E148" s="7"/>
      <c r="F148" s="15">
        <f t="shared" si="168"/>
        <v>13932</v>
      </c>
      <c r="H148" s="7">
        <f>120*H22</f>
        <v>0</v>
      </c>
      <c r="I148" s="7">
        <f t="shared" ref="I148" si="179">120*I22</f>
        <v>0</v>
      </c>
      <c r="J148" s="7">
        <f>129*J22</f>
        <v>21754.560000000001</v>
      </c>
      <c r="K148" s="7"/>
      <c r="L148" s="15">
        <f t="shared" si="169"/>
        <v>21754.560000000001</v>
      </c>
      <c r="N148" s="7">
        <f t="shared" si="170"/>
        <v>0</v>
      </c>
      <c r="O148" s="7">
        <f t="shared" si="170"/>
        <v>0</v>
      </c>
      <c r="P148" s="7">
        <f t="shared" si="170"/>
        <v>35686.559999999998</v>
      </c>
      <c r="Q148" s="7">
        <f t="shared" si="170"/>
        <v>0</v>
      </c>
      <c r="R148" s="15">
        <f t="shared" si="171"/>
        <v>35686.559999999998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70"/>
        <v>0</v>
      </c>
      <c r="O149" s="7">
        <f t="shared" si="170"/>
        <v>0</v>
      </c>
      <c r="P149" s="7">
        <f t="shared" si="170"/>
        <v>0</v>
      </c>
      <c r="Q149" s="7">
        <f t="shared" si="170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309658</v>
      </c>
      <c r="C150" s="92">
        <f t="shared" ref="C150:F150" si="180">SUM(C140:C149)</f>
        <v>0</v>
      </c>
      <c r="D150" s="92">
        <f t="shared" si="180"/>
        <v>13932</v>
      </c>
      <c r="E150" s="92">
        <f t="shared" si="180"/>
        <v>0</v>
      </c>
      <c r="F150" s="92">
        <f t="shared" si="180"/>
        <v>323590</v>
      </c>
      <c r="H150" s="92">
        <f>SUM(H140:H149)</f>
        <v>409658</v>
      </c>
      <c r="I150" s="92">
        <f t="shared" ref="I150:L150" si="181">SUM(I140:I149)</f>
        <v>0</v>
      </c>
      <c r="J150" s="92">
        <f t="shared" si="181"/>
        <v>21754.560000000001</v>
      </c>
      <c r="K150" s="92">
        <f t="shared" si="181"/>
        <v>0</v>
      </c>
      <c r="L150" s="92">
        <f t="shared" si="181"/>
        <v>431412.56</v>
      </c>
      <c r="N150" s="92">
        <f>SUM(N140:N149)</f>
        <v>719316</v>
      </c>
      <c r="O150" s="92">
        <f t="shared" ref="O150:R150" si="182">SUM(O140:O149)</f>
        <v>0</v>
      </c>
      <c r="P150" s="92">
        <f t="shared" si="182"/>
        <v>35686.559999999998</v>
      </c>
      <c r="Q150" s="92">
        <f t="shared" si="182"/>
        <v>0</v>
      </c>
      <c r="R150" s="92">
        <f t="shared" si="182"/>
        <v>755002.56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3">C1</f>
        <v>Weights</v>
      </c>
      <c r="D151" s="153" t="str">
        <f>D1</f>
        <v>SPED</v>
      </c>
      <c r="E151" s="153" t="str">
        <f t="shared" ref="E151:F151" si="184">E1</f>
        <v>NSLP</v>
      </c>
      <c r="F151" s="153" t="str">
        <f t="shared" si="184"/>
        <v>Mt. Rose</v>
      </c>
      <c r="H151" s="153" t="str">
        <f>H1</f>
        <v>Operating</v>
      </c>
      <c r="I151" s="153" t="str">
        <f t="shared" ref="I151" si="185">I1</f>
        <v>Weights</v>
      </c>
      <c r="J151" s="153" t="str">
        <f>J1</f>
        <v>SPED</v>
      </c>
      <c r="K151" s="153" t="str">
        <f t="shared" ref="K151:L151" si="186">K1</f>
        <v>NSLP</v>
      </c>
      <c r="L151" s="153" t="str">
        <f t="shared" si="186"/>
        <v>New Campus</v>
      </c>
      <c r="N151" s="153" t="str">
        <f>N1</f>
        <v>Operating</v>
      </c>
      <c r="O151" s="153" t="str">
        <f t="shared" ref="O151" si="187">O1</f>
        <v>Weights</v>
      </c>
      <c r="P151" s="153" t="str">
        <f>P1</f>
        <v>SPED</v>
      </c>
      <c r="Q151" s="153" t="str">
        <f t="shared" ref="Q151:R151" si="188">Q1</f>
        <v>NSLP</v>
      </c>
      <c r="R151" s="153" t="str">
        <f t="shared" si="188"/>
        <v>DANN Total</v>
      </c>
    </row>
    <row r="152" spans="1:18" x14ac:dyDescent="0.35">
      <c r="A152" s="63" t="s">
        <v>99</v>
      </c>
      <c r="B152" s="80">
        <v>0</v>
      </c>
      <c r="C152" s="80">
        <f>12500*1.03*1.03*1.03</f>
        <v>13659.0875</v>
      </c>
      <c r="D152" s="80"/>
      <c r="E152" s="80"/>
      <c r="F152" s="80">
        <f t="shared" ref="F152:F163" si="189">SUM(B152:E152)</f>
        <v>13659.0875</v>
      </c>
      <c r="H152" s="80">
        <v>0</v>
      </c>
      <c r="I152" s="80">
        <f>12500*1.03*1.03*1.03</f>
        <v>13659.0875</v>
      </c>
      <c r="J152" s="80"/>
      <c r="K152" s="80"/>
      <c r="L152" s="80">
        <f t="shared" ref="L152:L163" si="190">SUM(H152:K152)</f>
        <v>13659.0875</v>
      </c>
      <c r="N152" s="7">
        <f t="shared" ref="N152:Q164" si="191">B152+H152</f>
        <v>0</v>
      </c>
      <c r="O152" s="7">
        <f t="shared" si="191"/>
        <v>27318.174999999999</v>
      </c>
      <c r="P152" s="7">
        <f t="shared" si="191"/>
        <v>0</v>
      </c>
      <c r="Q152" s="7">
        <f t="shared" si="191"/>
        <v>0</v>
      </c>
      <c r="R152" s="80">
        <f t="shared" ref="R152:R163" si="192">SUM(N152:Q152)</f>
        <v>27318.174999999999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89"/>
        <v>258960</v>
      </c>
      <c r="H153" s="14">
        <v>0</v>
      </c>
      <c r="I153" s="146"/>
      <c r="J153" s="11">
        <f>260*H19</f>
        <v>258960</v>
      </c>
      <c r="K153" s="146"/>
      <c r="L153" s="80">
        <f t="shared" si="190"/>
        <v>258960</v>
      </c>
      <c r="N153" s="7">
        <f t="shared" si="191"/>
        <v>0</v>
      </c>
      <c r="O153" s="7">
        <f t="shared" si="191"/>
        <v>0</v>
      </c>
      <c r="P153" s="7">
        <f t="shared" si="191"/>
        <v>517920</v>
      </c>
      <c r="Q153" s="7">
        <f t="shared" si="191"/>
        <v>0</v>
      </c>
      <c r="R153" s="80">
        <f t="shared" si="192"/>
        <v>517920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89"/>
        <v>0</v>
      </c>
      <c r="H154" s="11">
        <v>0</v>
      </c>
      <c r="I154" s="146"/>
      <c r="J154" s="14"/>
      <c r="K154" s="146"/>
      <c r="L154" s="80">
        <f t="shared" si="190"/>
        <v>0</v>
      </c>
      <c r="N154" s="7">
        <f t="shared" si="191"/>
        <v>0</v>
      </c>
      <c r="O154" s="7">
        <f t="shared" si="191"/>
        <v>0</v>
      </c>
      <c r="P154" s="7">
        <f t="shared" si="191"/>
        <v>0</v>
      </c>
      <c r="Q154" s="7">
        <f t="shared" si="191"/>
        <v>0</v>
      </c>
      <c r="R154" s="80">
        <f t="shared" si="192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89"/>
        <v>448200</v>
      </c>
      <c r="H155" s="7">
        <f>(450*H19)</f>
        <v>448200</v>
      </c>
      <c r="I155" s="7"/>
      <c r="J155" s="7"/>
      <c r="K155" s="7"/>
      <c r="L155" s="80">
        <f t="shared" si="190"/>
        <v>448200</v>
      </c>
      <c r="N155" s="7">
        <f t="shared" si="191"/>
        <v>896400</v>
      </c>
      <c r="O155" s="7">
        <f t="shared" si="191"/>
        <v>0</v>
      </c>
      <c r="P155" s="7">
        <f t="shared" si="191"/>
        <v>0</v>
      </c>
      <c r="Q155" s="7">
        <f t="shared" si="191"/>
        <v>0</v>
      </c>
      <c r="R155" s="80">
        <f t="shared" si="192"/>
        <v>896400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89"/>
        <v>14460</v>
      </c>
      <c r="H156" s="7">
        <f>(240*H67)+1500</f>
        <v>13500</v>
      </c>
      <c r="I156" s="7"/>
      <c r="J156" s="7"/>
      <c r="K156" s="7"/>
      <c r="L156" s="80">
        <f t="shared" si="190"/>
        <v>13500</v>
      </c>
      <c r="N156" s="7">
        <f t="shared" si="191"/>
        <v>27960</v>
      </c>
      <c r="O156" s="7">
        <f t="shared" si="191"/>
        <v>0</v>
      </c>
      <c r="P156" s="7">
        <f t="shared" si="191"/>
        <v>0</v>
      </c>
      <c r="Q156" s="7">
        <f t="shared" si="191"/>
        <v>0</v>
      </c>
      <c r="R156" s="80">
        <f t="shared" si="192"/>
        <v>27960</v>
      </c>
    </row>
    <row r="157" spans="1:18" x14ac:dyDescent="0.35">
      <c r="A157" s="63" t="s">
        <v>104</v>
      </c>
      <c r="B157" s="7">
        <f>(28500*1.03*1.03*1.03*1.03)*0.5</f>
        <v>16038.500542500002</v>
      </c>
      <c r="C157" s="7"/>
      <c r="D157" s="7"/>
      <c r="E157" s="7"/>
      <c r="F157" s="80">
        <f t="shared" si="189"/>
        <v>16038.500542500002</v>
      </c>
      <c r="H157" s="7">
        <f>(28500*1.03*1.03*1.03*1.03)*0.5</f>
        <v>16038.500542500002</v>
      </c>
      <c r="I157" s="7"/>
      <c r="J157" s="7"/>
      <c r="K157" s="7"/>
      <c r="L157" s="80">
        <f t="shared" si="190"/>
        <v>16038.500542500002</v>
      </c>
      <c r="N157" s="7">
        <f t="shared" si="191"/>
        <v>32077.001085000004</v>
      </c>
      <c r="O157" s="7">
        <f t="shared" si="191"/>
        <v>0</v>
      </c>
      <c r="P157" s="7">
        <f t="shared" si="191"/>
        <v>0</v>
      </c>
      <c r="Q157" s="7">
        <f t="shared" si="191"/>
        <v>0</v>
      </c>
      <c r="R157" s="80">
        <f t="shared" si="192"/>
        <v>32077.001085000004</v>
      </c>
    </row>
    <row r="158" spans="1:18" x14ac:dyDescent="0.35">
      <c r="A158" s="63" t="s">
        <v>105</v>
      </c>
      <c r="B158" s="7">
        <v>5600</v>
      </c>
      <c r="C158" s="7"/>
      <c r="D158" s="7"/>
      <c r="E158" s="7"/>
      <c r="F158" s="80">
        <f t="shared" si="189"/>
        <v>5600</v>
      </c>
      <c r="H158" s="7">
        <v>5600</v>
      </c>
      <c r="I158" s="7"/>
      <c r="J158" s="7"/>
      <c r="K158" s="7"/>
      <c r="L158" s="80">
        <f t="shared" si="190"/>
        <v>5600</v>
      </c>
      <c r="N158" s="7">
        <f t="shared" si="191"/>
        <v>11200</v>
      </c>
      <c r="O158" s="7">
        <f t="shared" si="191"/>
        <v>0</v>
      </c>
      <c r="P158" s="7">
        <f t="shared" si="191"/>
        <v>0</v>
      </c>
      <c r="Q158" s="7">
        <f t="shared" si="191"/>
        <v>0</v>
      </c>
      <c r="R158" s="80">
        <f t="shared" si="192"/>
        <v>11200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89"/>
        <v>44820</v>
      </c>
      <c r="H159" s="7">
        <f>45*H19</f>
        <v>44820</v>
      </c>
      <c r="I159" s="7"/>
      <c r="J159" s="7"/>
      <c r="K159" s="7"/>
      <c r="L159" s="80">
        <f t="shared" si="190"/>
        <v>44820</v>
      </c>
      <c r="N159" s="7">
        <f t="shared" si="191"/>
        <v>89640</v>
      </c>
      <c r="O159" s="7">
        <f t="shared" si="191"/>
        <v>0</v>
      </c>
      <c r="P159" s="7">
        <f t="shared" si="191"/>
        <v>0</v>
      </c>
      <c r="Q159" s="7">
        <f t="shared" si="191"/>
        <v>0</v>
      </c>
      <c r="R159" s="80">
        <f t="shared" si="192"/>
        <v>89640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89"/>
        <v>8500</v>
      </c>
      <c r="H160" s="7">
        <v>8500</v>
      </c>
      <c r="I160" s="7"/>
      <c r="J160" s="7"/>
      <c r="K160" s="7"/>
      <c r="L160" s="80">
        <f t="shared" si="190"/>
        <v>8500</v>
      </c>
      <c r="N160" s="7">
        <f t="shared" si="191"/>
        <v>17000</v>
      </c>
      <c r="O160" s="7">
        <f t="shared" si="191"/>
        <v>0</v>
      </c>
      <c r="P160" s="7">
        <f t="shared" si="191"/>
        <v>0</v>
      </c>
      <c r="Q160" s="7">
        <f t="shared" si="191"/>
        <v>0</v>
      </c>
      <c r="R160" s="80">
        <f t="shared" si="192"/>
        <v>17000</v>
      </c>
    </row>
    <row r="161" spans="1:18" x14ac:dyDescent="0.35">
      <c r="A161" s="63" t="s">
        <v>219</v>
      </c>
      <c r="B161" s="7">
        <f>(B88+B89)*0.0125</f>
        <v>94595.1</v>
      </c>
      <c r="C161" s="7"/>
      <c r="D161" s="7"/>
      <c r="E161" s="7"/>
      <c r="F161" s="80">
        <f t="shared" si="189"/>
        <v>94595.1</v>
      </c>
      <c r="H161" s="7">
        <f>(H88+H89)*0.0125</f>
        <v>94595.1</v>
      </c>
      <c r="I161" s="7"/>
      <c r="J161" s="7"/>
      <c r="K161" s="7"/>
      <c r="L161" s="80">
        <f t="shared" si="190"/>
        <v>94595.1</v>
      </c>
      <c r="N161" s="7">
        <f t="shared" si="191"/>
        <v>189190.2</v>
      </c>
      <c r="O161" s="7">
        <f t="shared" si="191"/>
        <v>0</v>
      </c>
      <c r="P161" s="7">
        <f t="shared" si="191"/>
        <v>0</v>
      </c>
      <c r="Q161" s="7">
        <f t="shared" si="191"/>
        <v>0</v>
      </c>
      <c r="R161" s="80">
        <f t="shared" si="192"/>
        <v>189190.2</v>
      </c>
    </row>
    <row r="162" spans="1:18" x14ac:dyDescent="0.35">
      <c r="A162" s="63" t="s">
        <v>108</v>
      </c>
      <c r="B162" s="7">
        <f>(B88+B89)*0.005</f>
        <v>37838.04</v>
      </c>
      <c r="C162" s="7"/>
      <c r="D162" s="7"/>
      <c r="E162" s="7"/>
      <c r="F162" s="80">
        <f t="shared" si="189"/>
        <v>37838.04</v>
      </c>
      <c r="H162" s="7">
        <f>(H88+H89)*0.005</f>
        <v>37838.04</v>
      </c>
      <c r="I162" s="7"/>
      <c r="J162" s="7"/>
      <c r="K162" s="7"/>
      <c r="L162" s="80">
        <f t="shared" si="190"/>
        <v>37838.04</v>
      </c>
      <c r="N162" s="7">
        <f t="shared" si="191"/>
        <v>75676.08</v>
      </c>
      <c r="O162" s="7">
        <f t="shared" si="191"/>
        <v>0</v>
      </c>
      <c r="P162" s="7">
        <f t="shared" si="191"/>
        <v>0</v>
      </c>
      <c r="Q162" s="7">
        <f t="shared" si="191"/>
        <v>0</v>
      </c>
      <c r="R162" s="80">
        <f t="shared" si="192"/>
        <v>75676.08</v>
      </c>
    </row>
    <row r="163" spans="1:18" x14ac:dyDescent="0.35">
      <c r="A163" s="63" t="s">
        <v>109</v>
      </c>
      <c r="B163" s="7">
        <f>(B88+B89)*0.005</f>
        <v>37838.04</v>
      </c>
      <c r="C163" s="7"/>
      <c r="D163" s="7"/>
      <c r="E163" s="7"/>
      <c r="F163" s="80">
        <f t="shared" si="189"/>
        <v>37838.04</v>
      </c>
      <c r="H163" s="7">
        <f>(H88+H89)*0.005</f>
        <v>37838.04</v>
      </c>
      <c r="I163" s="7"/>
      <c r="J163" s="7"/>
      <c r="K163" s="7"/>
      <c r="L163" s="80">
        <f t="shared" si="190"/>
        <v>37838.04</v>
      </c>
      <c r="N163" s="7">
        <f t="shared" si="191"/>
        <v>75676.08</v>
      </c>
      <c r="O163" s="7">
        <f t="shared" si="191"/>
        <v>0</v>
      </c>
      <c r="P163" s="7">
        <f t="shared" si="191"/>
        <v>0</v>
      </c>
      <c r="Q163" s="7">
        <f t="shared" si="191"/>
        <v>0</v>
      </c>
      <c r="R163" s="80">
        <f t="shared" si="192"/>
        <v>75676.08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91"/>
        <v>0</v>
      </c>
      <c r="O164" s="7">
        <f t="shared" si="191"/>
        <v>0</v>
      </c>
      <c r="P164" s="7">
        <f t="shared" si="191"/>
        <v>0</v>
      </c>
      <c r="Q164" s="7">
        <f t="shared" si="191"/>
        <v>0</v>
      </c>
      <c r="R164" s="81"/>
    </row>
    <row r="165" spans="1:18" ht="15" thickBot="1" x14ac:dyDescent="0.4">
      <c r="A165" s="95" t="s">
        <v>111</v>
      </c>
      <c r="B165" s="92">
        <f>SUM(B152:B164)</f>
        <v>707889.68054250011</v>
      </c>
      <c r="C165" s="92">
        <f t="shared" ref="C165" si="193">SUM(C152:C164)</f>
        <v>13659.0875</v>
      </c>
      <c r="D165" s="92">
        <f>SUM(D152:D164)</f>
        <v>258960</v>
      </c>
      <c r="E165" s="92">
        <f t="shared" ref="E165:F165" si="194">SUM(E152:E164)</f>
        <v>0</v>
      </c>
      <c r="F165" s="92">
        <f t="shared" si="194"/>
        <v>980508.76804250013</v>
      </c>
      <c r="H165" s="92">
        <f>SUM(H152:H164)</f>
        <v>706929.68054250011</v>
      </c>
      <c r="I165" s="92">
        <f t="shared" ref="I165" si="195">SUM(I152:I164)</f>
        <v>13659.0875</v>
      </c>
      <c r="J165" s="92">
        <f>SUM(J152:J164)</f>
        <v>258960</v>
      </c>
      <c r="K165" s="92">
        <f t="shared" ref="K165:L165" si="196">SUM(K152:K164)</f>
        <v>0</v>
      </c>
      <c r="L165" s="92">
        <f t="shared" si="196"/>
        <v>979548.76804250013</v>
      </c>
      <c r="N165" s="92">
        <f>SUM(N152:N164)</f>
        <v>1414819.3610850002</v>
      </c>
      <c r="O165" s="92">
        <f t="shared" ref="O165" si="197">SUM(O152:O164)</f>
        <v>27318.174999999999</v>
      </c>
      <c r="P165" s="92">
        <f>SUM(P152:P164)</f>
        <v>517920</v>
      </c>
      <c r="Q165" s="92">
        <f t="shared" ref="Q165:R165" si="198">SUM(Q152:Q164)</f>
        <v>0</v>
      </c>
      <c r="R165" s="92">
        <f t="shared" si="198"/>
        <v>1960057.5360850003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199">C151</f>
        <v>Weights</v>
      </c>
      <c r="D166" s="153" t="str">
        <f>D151</f>
        <v>SPED</v>
      </c>
      <c r="E166" s="153" t="str">
        <f t="shared" ref="E166:F166" si="200">E151</f>
        <v>NSLP</v>
      </c>
      <c r="F166" s="153" t="str">
        <f t="shared" si="200"/>
        <v>Mt. Rose</v>
      </c>
      <c r="H166" s="153" t="str">
        <f>H151</f>
        <v>Operating</v>
      </c>
      <c r="I166" s="153" t="str">
        <f t="shared" ref="I166" si="201">I151</f>
        <v>Weights</v>
      </c>
      <c r="J166" s="153" t="str">
        <f>J151</f>
        <v>SPED</v>
      </c>
      <c r="K166" s="153" t="str">
        <f t="shared" ref="K166:L166" si="202">K151</f>
        <v>NSLP</v>
      </c>
      <c r="L166" s="153" t="str">
        <f t="shared" si="202"/>
        <v>New Campus</v>
      </c>
      <c r="N166" s="153" t="str">
        <f>N151</f>
        <v>Operating</v>
      </c>
      <c r="O166" s="153" t="str">
        <f t="shared" ref="O166" si="203">O151</f>
        <v>Weights</v>
      </c>
      <c r="P166" s="153" t="str">
        <f>P151</f>
        <v>SPED</v>
      </c>
      <c r="Q166" s="153" t="str">
        <f t="shared" ref="Q166:R166" si="204">Q151</f>
        <v>NSLP</v>
      </c>
      <c r="R166" s="153" t="str">
        <f t="shared" si="204"/>
        <v>DANN Total</v>
      </c>
    </row>
    <row r="167" spans="1:18" x14ac:dyDescent="0.35">
      <c r="A167" s="63" t="s">
        <v>113</v>
      </c>
      <c r="B167" s="15">
        <f>'FY27'!B167*1.02</f>
        <v>18663.511789152006</v>
      </c>
      <c r="C167" s="15"/>
      <c r="D167" s="7"/>
      <c r="E167" s="7"/>
      <c r="F167" s="7">
        <f t="shared" ref="F167:F173" si="205">SUM(B167:E167)</f>
        <v>18663.511789152006</v>
      </c>
      <c r="H167" s="15">
        <f>(1320*12+(75*12))*1.03*1.02*1.03</f>
        <v>18114.655320000002</v>
      </c>
      <c r="I167" s="15"/>
      <c r="J167" s="7"/>
      <c r="K167" s="7"/>
      <c r="L167" s="7">
        <f t="shared" ref="L167:L173" si="206">SUM(H167:K167)</f>
        <v>18114.655320000002</v>
      </c>
      <c r="N167" s="7">
        <f t="shared" ref="N167:Q173" si="207">B167+H167</f>
        <v>36778.167109152011</v>
      </c>
      <c r="O167" s="7">
        <f t="shared" si="207"/>
        <v>0</v>
      </c>
      <c r="P167" s="7">
        <f t="shared" si="207"/>
        <v>0</v>
      </c>
      <c r="Q167" s="7">
        <f t="shared" si="207"/>
        <v>0</v>
      </c>
      <c r="R167" s="7">
        <f t="shared" ref="R167:R173" si="208">SUM(N167:Q167)</f>
        <v>36778.167109152011</v>
      </c>
    </row>
    <row r="168" spans="1:18" x14ac:dyDescent="0.35">
      <c r="A168" s="63" t="s">
        <v>114</v>
      </c>
      <c r="B168" s="15">
        <f>'FY27'!B168*1.02</f>
        <v>4348.1299867199996</v>
      </c>
      <c r="C168" s="15"/>
      <c r="D168" s="7"/>
      <c r="E168" s="7"/>
      <c r="F168" s="7">
        <f t="shared" si="205"/>
        <v>4348.1299867199996</v>
      </c>
      <c r="H168" s="15">
        <f>(325*12)*1.03*1.02*1.03</f>
        <v>4220.2602000000006</v>
      </c>
      <c r="I168" s="15"/>
      <c r="J168" s="7"/>
      <c r="K168" s="7"/>
      <c r="L168" s="7">
        <f t="shared" si="206"/>
        <v>4220.2602000000006</v>
      </c>
      <c r="N168" s="7">
        <f t="shared" si="207"/>
        <v>8568.3901867200002</v>
      </c>
      <c r="O168" s="7">
        <f t="shared" si="207"/>
        <v>0</v>
      </c>
      <c r="P168" s="7">
        <f t="shared" si="207"/>
        <v>0</v>
      </c>
      <c r="Q168" s="7">
        <f t="shared" si="207"/>
        <v>0</v>
      </c>
      <c r="R168" s="7">
        <f t="shared" si="208"/>
        <v>8568.3901867200002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5"/>
        <v>0</v>
      </c>
      <c r="H169" s="7"/>
      <c r="I169" s="7"/>
      <c r="J169" s="7"/>
      <c r="K169" s="7"/>
      <c r="L169" s="7">
        <f t="shared" si="206"/>
        <v>0</v>
      </c>
      <c r="N169" s="7">
        <f t="shared" si="207"/>
        <v>0</v>
      </c>
      <c r="O169" s="7">
        <f t="shared" si="207"/>
        <v>0</v>
      </c>
      <c r="P169" s="7">
        <f t="shared" si="207"/>
        <v>0</v>
      </c>
      <c r="Q169" s="7">
        <f t="shared" si="207"/>
        <v>0</v>
      </c>
      <c r="R169" s="7">
        <f t="shared" si="208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5"/>
        <v>800</v>
      </c>
      <c r="H170" s="7">
        <v>725</v>
      </c>
      <c r="I170" s="7"/>
      <c r="J170" s="7"/>
      <c r="K170" s="7"/>
      <c r="L170" s="7">
        <f t="shared" si="206"/>
        <v>725</v>
      </c>
      <c r="N170" s="7">
        <f t="shared" si="207"/>
        <v>1525</v>
      </c>
      <c r="O170" s="7">
        <f t="shared" si="207"/>
        <v>0</v>
      </c>
      <c r="P170" s="7">
        <f t="shared" si="207"/>
        <v>0</v>
      </c>
      <c r="Q170" s="7">
        <f t="shared" si="207"/>
        <v>0</v>
      </c>
      <c r="R170" s="7">
        <f t="shared" si="208"/>
        <v>1525</v>
      </c>
    </row>
    <row r="171" spans="1:18" x14ac:dyDescent="0.35">
      <c r="A171" s="63" t="s">
        <v>117</v>
      </c>
      <c r="B171" s="7">
        <v>5200</v>
      </c>
      <c r="C171" s="7"/>
      <c r="D171" s="7"/>
      <c r="E171" s="7"/>
      <c r="F171" s="7">
        <f t="shared" si="205"/>
        <v>5200</v>
      </c>
      <c r="H171" s="7">
        <v>5200</v>
      </c>
      <c r="I171" s="7"/>
      <c r="J171" s="7"/>
      <c r="K171" s="7"/>
      <c r="L171" s="7">
        <f t="shared" si="206"/>
        <v>5200</v>
      </c>
      <c r="N171" s="7">
        <f t="shared" si="207"/>
        <v>10400</v>
      </c>
      <c r="O171" s="7">
        <f t="shared" si="207"/>
        <v>0</v>
      </c>
      <c r="P171" s="7">
        <f t="shared" si="207"/>
        <v>0</v>
      </c>
      <c r="Q171" s="7">
        <f t="shared" si="207"/>
        <v>0</v>
      </c>
      <c r="R171" s="7">
        <f t="shared" si="208"/>
        <v>10400</v>
      </c>
    </row>
    <row r="172" spans="1:18" x14ac:dyDescent="0.35">
      <c r="A172" s="63" t="s">
        <v>118</v>
      </c>
      <c r="B172" s="15">
        <f>30000*1.03*1.03*1.03</f>
        <v>32781.81</v>
      </c>
      <c r="C172" s="7"/>
      <c r="D172" s="7"/>
      <c r="E172" s="7"/>
      <c r="F172" s="7">
        <f t="shared" si="205"/>
        <v>32781.81</v>
      </c>
      <c r="H172" s="15">
        <f>30000*1.03*1.03*1.03</f>
        <v>32781.81</v>
      </c>
      <c r="I172" s="7"/>
      <c r="J172" s="7"/>
      <c r="K172" s="7"/>
      <c r="L172" s="7">
        <f t="shared" si="206"/>
        <v>32781.81</v>
      </c>
      <c r="N172" s="7">
        <f t="shared" si="207"/>
        <v>65563.62</v>
      </c>
      <c r="O172" s="7">
        <f t="shared" si="207"/>
        <v>0</v>
      </c>
      <c r="P172" s="7">
        <f t="shared" si="207"/>
        <v>0</v>
      </c>
      <c r="Q172" s="7">
        <f t="shared" si="207"/>
        <v>0</v>
      </c>
      <c r="R172" s="7">
        <f t="shared" si="208"/>
        <v>65563.62</v>
      </c>
    </row>
    <row r="173" spans="1:18" ht="15" thickBot="1" x14ac:dyDescent="0.4">
      <c r="A173" s="63" t="s">
        <v>119</v>
      </c>
      <c r="B173" s="7">
        <f>3200*1.03*1.03*1.03</f>
        <v>3496.7264</v>
      </c>
      <c r="C173" s="7"/>
      <c r="D173" s="7"/>
      <c r="E173" s="7"/>
      <c r="F173" s="7">
        <f t="shared" si="205"/>
        <v>3496.7264</v>
      </c>
      <c r="H173" s="7">
        <f>3200*1.03*1.03*1.03</f>
        <v>3496.7264</v>
      </c>
      <c r="I173" s="7"/>
      <c r="J173" s="7"/>
      <c r="K173" s="7"/>
      <c r="L173" s="7">
        <f t="shared" si="206"/>
        <v>3496.7264</v>
      </c>
      <c r="N173" s="7">
        <f t="shared" si="207"/>
        <v>6993.4528</v>
      </c>
      <c r="O173" s="7">
        <f t="shared" si="207"/>
        <v>0</v>
      </c>
      <c r="P173" s="7">
        <f t="shared" si="207"/>
        <v>0</v>
      </c>
      <c r="Q173" s="7">
        <f t="shared" si="207"/>
        <v>0</v>
      </c>
      <c r="R173" s="7">
        <f t="shared" si="208"/>
        <v>6993.4528</v>
      </c>
    </row>
    <row r="174" spans="1:18" ht="15" thickBot="1" x14ac:dyDescent="0.4">
      <c r="A174" s="95" t="s">
        <v>120</v>
      </c>
      <c r="B174" s="92">
        <f>SUM(B167:B173)</f>
        <v>65290.178175872003</v>
      </c>
      <c r="C174" s="92">
        <f t="shared" ref="C174:F174" si="209">SUM(C167:C173)</f>
        <v>0</v>
      </c>
      <c r="D174" s="92">
        <f t="shared" si="209"/>
        <v>0</v>
      </c>
      <c r="E174" s="92">
        <f t="shared" si="209"/>
        <v>0</v>
      </c>
      <c r="F174" s="92">
        <f t="shared" si="209"/>
        <v>65290.178175872003</v>
      </c>
      <c r="H174" s="92">
        <f>SUM(H167:H173)</f>
        <v>64538.45192</v>
      </c>
      <c r="I174" s="92">
        <f t="shared" ref="I174:L174" si="210">SUM(I167:I173)</f>
        <v>0</v>
      </c>
      <c r="J174" s="92">
        <f t="shared" si="210"/>
        <v>0</v>
      </c>
      <c r="K174" s="92">
        <f t="shared" si="210"/>
        <v>0</v>
      </c>
      <c r="L174" s="92">
        <f t="shared" si="210"/>
        <v>64538.45192</v>
      </c>
      <c r="N174" s="92">
        <f>SUM(N167:N173)</f>
        <v>129828.63009587201</v>
      </c>
      <c r="O174" s="92">
        <f t="shared" ref="O174:R174" si="211">SUM(O167:O173)</f>
        <v>0</v>
      </c>
      <c r="P174" s="92">
        <f t="shared" si="211"/>
        <v>0</v>
      </c>
      <c r="Q174" s="92">
        <f t="shared" si="211"/>
        <v>0</v>
      </c>
      <c r="R174" s="92">
        <f t="shared" si="211"/>
        <v>129828.63009587201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'FY27'!B176*1.06</f>
        <v>16192.529488960006</v>
      </c>
      <c r="C176" s="15"/>
      <c r="D176" s="15"/>
      <c r="E176" s="15"/>
      <c r="F176" s="15">
        <f>SUM(B176:E176)</f>
        <v>16192.529488960006</v>
      </c>
      <c r="H176" s="15">
        <f>(37525*1.06*1.06*1.06)*0.33</f>
        <v>14748.648882000001</v>
      </c>
      <c r="I176" s="15"/>
      <c r="J176" s="15"/>
      <c r="K176" s="15"/>
      <c r="L176" s="15">
        <f>SUM(H176:K176)</f>
        <v>14748.648882000001</v>
      </c>
      <c r="N176" s="7">
        <f t="shared" ref="N176:Q178" si="212">B176+H176</f>
        <v>30941.178370960006</v>
      </c>
      <c r="O176" s="7">
        <f t="shared" si="212"/>
        <v>0</v>
      </c>
      <c r="P176" s="7">
        <f t="shared" si="212"/>
        <v>0</v>
      </c>
      <c r="Q176" s="7">
        <f t="shared" si="212"/>
        <v>0</v>
      </c>
      <c r="R176" s="15">
        <f>SUM(N176:Q176)</f>
        <v>30941.178370960006</v>
      </c>
    </row>
    <row r="177" spans="1:18" x14ac:dyDescent="0.35">
      <c r="A177" s="63" t="s">
        <v>122</v>
      </c>
      <c r="B177" s="15">
        <f>'FY27'!B177*1.06</f>
        <v>14720.481353600002</v>
      </c>
      <c r="C177" s="7"/>
      <c r="D177" s="7"/>
      <c r="E177" s="7"/>
      <c r="F177" s="15">
        <f>SUM(B177:E177)</f>
        <v>14720.481353600002</v>
      </c>
      <c r="H177" s="15">
        <f>(37525*1.06*1.06*1.06)*0.33</f>
        <v>14748.648882000001</v>
      </c>
      <c r="I177" s="7"/>
      <c r="J177" s="7"/>
      <c r="K177" s="7"/>
      <c r="L177" s="15">
        <f>SUM(H177:K177)</f>
        <v>14748.648882000001</v>
      </c>
      <c r="N177" s="7">
        <f t="shared" si="212"/>
        <v>29469.130235600001</v>
      </c>
      <c r="O177" s="7">
        <f t="shared" si="212"/>
        <v>0</v>
      </c>
      <c r="P177" s="7">
        <f t="shared" si="212"/>
        <v>0</v>
      </c>
      <c r="Q177" s="7">
        <f t="shared" si="212"/>
        <v>0</v>
      </c>
      <c r="R177" s="15">
        <f>SUM(N177:Q177)</f>
        <v>29469.130235600001</v>
      </c>
    </row>
    <row r="178" spans="1:18" ht="15" thickBot="1" x14ac:dyDescent="0.4">
      <c r="A178" s="63" t="s">
        <v>123</v>
      </c>
      <c r="B178" s="15">
        <f>'FY27'!B178*1.06</f>
        <v>25760.842368800004</v>
      </c>
      <c r="C178" s="7"/>
      <c r="D178" s="7"/>
      <c r="E178" s="7"/>
      <c r="F178" s="15">
        <f>SUM(B178:E178)</f>
        <v>25760.842368800004</v>
      </c>
      <c r="H178" s="15">
        <f>(37525*1.06*1.06*1.06)*0.33</f>
        <v>14748.648882000001</v>
      </c>
      <c r="I178" s="7"/>
      <c r="J178" s="7"/>
      <c r="K178" s="7"/>
      <c r="L178" s="15">
        <f>SUM(H178:K178)</f>
        <v>14748.648882000001</v>
      </c>
      <c r="N178" s="7">
        <f t="shared" si="212"/>
        <v>40509.491250800005</v>
      </c>
      <c r="O178" s="7">
        <f t="shared" si="212"/>
        <v>0</v>
      </c>
      <c r="P178" s="7">
        <f t="shared" si="212"/>
        <v>0</v>
      </c>
      <c r="Q178" s="7">
        <f t="shared" si="212"/>
        <v>0</v>
      </c>
      <c r="R178" s="15">
        <f>SUM(N178:Q178)</f>
        <v>40509.491250800005</v>
      </c>
    </row>
    <row r="179" spans="1:18" ht="15" thickBot="1" x14ac:dyDescent="0.4">
      <c r="A179" s="95" t="s">
        <v>124</v>
      </c>
      <c r="B179" s="92">
        <f>SUM(B176:B178)</f>
        <v>56673.853211360009</v>
      </c>
      <c r="C179" s="92">
        <f t="shared" ref="C179:F179" si="213">SUM(C176:C178)</f>
        <v>0</v>
      </c>
      <c r="D179" s="92">
        <f t="shared" si="213"/>
        <v>0</v>
      </c>
      <c r="E179" s="92">
        <f t="shared" si="213"/>
        <v>0</v>
      </c>
      <c r="F179" s="92">
        <f t="shared" si="213"/>
        <v>56673.853211360009</v>
      </c>
      <c r="H179" s="92">
        <f>SUM(H176:H178)</f>
        <v>44245.946646000004</v>
      </c>
      <c r="I179" s="92">
        <f t="shared" ref="I179:L179" si="214">SUM(I176:I178)</f>
        <v>0</v>
      </c>
      <c r="J179" s="92">
        <f t="shared" si="214"/>
        <v>0</v>
      </c>
      <c r="K179" s="92">
        <f t="shared" si="214"/>
        <v>0</v>
      </c>
      <c r="L179" s="92">
        <f t="shared" si="214"/>
        <v>44245.946646000004</v>
      </c>
      <c r="N179" s="92">
        <f>SUM(N176:N178)</f>
        <v>100919.79985736002</v>
      </c>
      <c r="O179" s="92">
        <f t="shared" ref="O179:R179" si="215">SUM(O176:O178)</f>
        <v>0</v>
      </c>
      <c r="P179" s="92">
        <f t="shared" si="215"/>
        <v>0</v>
      </c>
      <c r="Q179" s="92">
        <f t="shared" si="215"/>
        <v>0</v>
      </c>
      <c r="R179" s="92">
        <f t="shared" si="215"/>
        <v>100919.79985736002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6">C1</f>
        <v>Weights</v>
      </c>
      <c r="D180" s="96" t="str">
        <f>D1</f>
        <v>SPED</v>
      </c>
      <c r="E180" s="96" t="str">
        <f t="shared" ref="E180:F180" si="217">E1</f>
        <v>NSLP</v>
      </c>
      <c r="F180" s="96" t="str">
        <f t="shared" si="217"/>
        <v>Mt. Rose</v>
      </c>
      <c r="H180" s="96" t="str">
        <f>H1</f>
        <v>Operating</v>
      </c>
      <c r="I180" s="96" t="str">
        <f t="shared" ref="I180" si="218">I1</f>
        <v>Weights</v>
      </c>
      <c r="J180" s="96" t="str">
        <f>J1</f>
        <v>SPED</v>
      </c>
      <c r="K180" s="96" t="str">
        <f t="shared" ref="K180:L180" si="219">K1</f>
        <v>NSLP</v>
      </c>
      <c r="L180" s="96" t="str">
        <f t="shared" si="219"/>
        <v>New Campus</v>
      </c>
      <c r="N180" s="96" t="str">
        <f>N1</f>
        <v>Operating</v>
      </c>
      <c r="O180" s="96" t="str">
        <f t="shared" ref="O180" si="220">O1</f>
        <v>Weights</v>
      </c>
      <c r="P180" s="96" t="str">
        <f>P1</f>
        <v>SPED</v>
      </c>
      <c r="Q180" s="96" t="str">
        <f t="shared" ref="Q180:R180" si="221">Q1</f>
        <v>NSLP</v>
      </c>
      <c r="R180" s="96" t="str">
        <f t="shared" si="221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((B19*E25)*3.65*180)+1000</f>
        <v>66437.200000000012</v>
      </c>
      <c r="F181" s="14">
        <f t="shared" ref="F181:F189" si="222">SUM(B181:E181)</f>
        <v>66437.200000000012</v>
      </c>
      <c r="H181" s="146">
        <v>0</v>
      </c>
      <c r="I181" s="146"/>
      <c r="J181" s="146"/>
      <c r="K181" s="14">
        <f>((H19*K25)*3.7*180)+1000</f>
        <v>365834.80000000005</v>
      </c>
      <c r="L181" s="14">
        <f t="shared" ref="L181:L189" si="223">SUM(H181:K181)</f>
        <v>365834.80000000005</v>
      </c>
      <c r="N181" s="7">
        <f t="shared" ref="N181:Q189" si="224">B181+H181</f>
        <v>0</v>
      </c>
      <c r="O181" s="7">
        <f t="shared" si="224"/>
        <v>0</v>
      </c>
      <c r="P181" s="7">
        <f t="shared" si="224"/>
        <v>0</v>
      </c>
      <c r="Q181" s="7">
        <f t="shared" si="224"/>
        <v>432272.00000000006</v>
      </c>
      <c r="R181" s="14">
        <f t="shared" ref="R181:R189" si="225">SUM(N181:Q181)</f>
        <v>432272.00000000006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2"/>
        <v>1500</v>
      </c>
      <c r="H182" s="7">
        <v>3500</v>
      </c>
      <c r="I182" s="7"/>
      <c r="J182" s="7"/>
      <c r="K182" s="7"/>
      <c r="L182" s="14">
        <f t="shared" si="223"/>
        <v>3500</v>
      </c>
      <c r="N182" s="7">
        <f t="shared" si="224"/>
        <v>5000</v>
      </c>
      <c r="O182" s="7">
        <f t="shared" si="224"/>
        <v>0</v>
      </c>
      <c r="P182" s="7">
        <f t="shared" si="224"/>
        <v>0</v>
      </c>
      <c r="Q182" s="7">
        <f t="shared" si="224"/>
        <v>0</v>
      </c>
      <c r="R182" s="14">
        <f t="shared" si="225"/>
        <v>5000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2"/>
        <v>1250</v>
      </c>
      <c r="H183" s="7">
        <v>1250</v>
      </c>
      <c r="I183" s="7"/>
      <c r="J183" s="7"/>
      <c r="K183" s="7"/>
      <c r="L183" s="14">
        <f t="shared" si="223"/>
        <v>1250</v>
      </c>
      <c r="N183" s="7">
        <f t="shared" si="224"/>
        <v>2500</v>
      </c>
      <c r="O183" s="7">
        <f t="shared" si="224"/>
        <v>0</v>
      </c>
      <c r="P183" s="7">
        <f t="shared" si="224"/>
        <v>0</v>
      </c>
      <c r="Q183" s="7">
        <f t="shared" si="224"/>
        <v>0</v>
      </c>
      <c r="R183" s="14">
        <f t="shared" si="225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2"/>
        <v>750</v>
      </c>
      <c r="H184" s="7">
        <f>75*10</f>
        <v>750</v>
      </c>
      <c r="I184" s="7"/>
      <c r="J184" s="7"/>
      <c r="K184" s="7"/>
      <c r="L184" s="14">
        <f t="shared" si="223"/>
        <v>750</v>
      </c>
      <c r="N184" s="7">
        <f t="shared" si="224"/>
        <v>1500</v>
      </c>
      <c r="O184" s="7">
        <f t="shared" si="224"/>
        <v>0</v>
      </c>
      <c r="P184" s="7">
        <f t="shared" si="224"/>
        <v>0</v>
      </c>
      <c r="Q184" s="7">
        <f t="shared" si="224"/>
        <v>0</v>
      </c>
      <c r="R184" s="14">
        <f t="shared" si="225"/>
        <v>1500</v>
      </c>
    </row>
    <row r="185" spans="1:18" x14ac:dyDescent="0.35">
      <c r="A185" s="63" t="s">
        <v>130</v>
      </c>
      <c r="B185" s="15">
        <v>12000</v>
      </c>
      <c r="C185" s="15"/>
      <c r="D185" s="15"/>
      <c r="E185" s="15"/>
      <c r="F185" s="14">
        <f t="shared" si="222"/>
        <v>12000</v>
      </c>
      <c r="H185" s="15">
        <v>8500</v>
      </c>
      <c r="I185" s="15"/>
      <c r="J185" s="15"/>
      <c r="K185" s="15"/>
      <c r="L185" s="14">
        <f t="shared" si="223"/>
        <v>8500</v>
      </c>
      <c r="N185" s="7">
        <f t="shared" si="224"/>
        <v>20500</v>
      </c>
      <c r="O185" s="7">
        <f t="shared" si="224"/>
        <v>0</v>
      </c>
      <c r="P185" s="7">
        <f t="shared" si="224"/>
        <v>0</v>
      </c>
      <c r="Q185" s="7">
        <f t="shared" si="224"/>
        <v>0</v>
      </c>
      <c r="R185" s="14">
        <f t="shared" si="225"/>
        <v>20500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2"/>
        <v>0</v>
      </c>
      <c r="H186" s="159"/>
      <c r="I186" s="152"/>
      <c r="J186" s="152"/>
      <c r="K186" s="152"/>
      <c r="L186" s="14">
        <f t="shared" si="223"/>
        <v>0</v>
      </c>
      <c r="N186" s="7">
        <f t="shared" si="224"/>
        <v>0</v>
      </c>
      <c r="O186" s="7">
        <f t="shared" si="224"/>
        <v>0</v>
      </c>
      <c r="P186" s="7">
        <f t="shared" si="224"/>
        <v>0</v>
      </c>
      <c r="Q186" s="7">
        <f t="shared" si="224"/>
        <v>0</v>
      </c>
      <c r="R186" s="14">
        <f t="shared" si="225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2"/>
        <v>0</v>
      </c>
      <c r="H187" s="159"/>
      <c r="I187" s="15"/>
      <c r="J187" s="15"/>
      <c r="K187" s="15"/>
      <c r="L187" s="14">
        <f t="shared" si="223"/>
        <v>0</v>
      </c>
      <c r="N187" s="7">
        <f t="shared" si="224"/>
        <v>0</v>
      </c>
      <c r="O187" s="7">
        <f t="shared" si="224"/>
        <v>0</v>
      </c>
      <c r="P187" s="7">
        <f t="shared" si="224"/>
        <v>0</v>
      </c>
      <c r="Q187" s="7">
        <f t="shared" si="224"/>
        <v>0</v>
      </c>
      <c r="R187" s="14">
        <f t="shared" si="225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2"/>
        <v>0</v>
      </c>
      <c r="H188" s="159"/>
      <c r="I188" s="15"/>
      <c r="J188" s="15"/>
      <c r="K188" s="15"/>
      <c r="L188" s="14">
        <f t="shared" si="223"/>
        <v>0</v>
      </c>
      <c r="N188" s="7">
        <f t="shared" si="224"/>
        <v>0</v>
      </c>
      <c r="O188" s="7">
        <f t="shared" si="224"/>
        <v>0</v>
      </c>
      <c r="P188" s="7">
        <f t="shared" si="224"/>
        <v>0</v>
      </c>
      <c r="Q188" s="7">
        <f t="shared" si="224"/>
        <v>0</v>
      </c>
      <c r="R188" s="14">
        <f t="shared" si="225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2"/>
        <v>1750</v>
      </c>
      <c r="H189" s="7">
        <v>1750</v>
      </c>
      <c r="I189" s="7"/>
      <c r="J189" s="7"/>
      <c r="K189" s="7"/>
      <c r="L189" s="14">
        <f t="shared" si="223"/>
        <v>1750</v>
      </c>
      <c r="N189" s="7">
        <f t="shared" si="224"/>
        <v>3500</v>
      </c>
      <c r="O189" s="7">
        <f t="shared" si="224"/>
        <v>0</v>
      </c>
      <c r="P189" s="7">
        <f t="shared" si="224"/>
        <v>0</v>
      </c>
      <c r="Q189" s="7">
        <f t="shared" si="224"/>
        <v>0</v>
      </c>
      <c r="R189" s="14">
        <f t="shared" si="225"/>
        <v>3500</v>
      </c>
    </row>
    <row r="190" spans="1:18" ht="15" thickBot="1" x14ac:dyDescent="0.4">
      <c r="A190" s="95" t="s">
        <v>135</v>
      </c>
      <c r="B190" s="92">
        <f>SUM(B181:B189)</f>
        <v>17250</v>
      </c>
      <c r="C190" s="92">
        <f t="shared" ref="C190:F190" si="226">SUM(C181:C189)</f>
        <v>0</v>
      </c>
      <c r="D190" s="92">
        <f t="shared" si="226"/>
        <v>0</v>
      </c>
      <c r="E190" s="92">
        <f t="shared" si="226"/>
        <v>66437.200000000012</v>
      </c>
      <c r="F190" s="92">
        <f t="shared" si="226"/>
        <v>83687.200000000012</v>
      </c>
      <c r="H190" s="92">
        <f>SUM(H181:H189)</f>
        <v>15750</v>
      </c>
      <c r="I190" s="92">
        <f t="shared" ref="I190:L190" si="227">SUM(I181:I189)</f>
        <v>0</v>
      </c>
      <c r="J190" s="92">
        <f t="shared" si="227"/>
        <v>0</v>
      </c>
      <c r="K190" s="92">
        <f t="shared" si="227"/>
        <v>365834.80000000005</v>
      </c>
      <c r="L190" s="92">
        <f t="shared" si="227"/>
        <v>381584.80000000005</v>
      </c>
      <c r="N190" s="92">
        <f>SUM(N181:N189)</f>
        <v>33000</v>
      </c>
      <c r="O190" s="92">
        <f t="shared" ref="O190:R190" si="228">SUM(O181:O189)</f>
        <v>0</v>
      </c>
      <c r="P190" s="92">
        <f t="shared" si="228"/>
        <v>0</v>
      </c>
      <c r="Q190" s="92">
        <f t="shared" si="228"/>
        <v>432272.00000000006</v>
      </c>
      <c r="R190" s="92">
        <f t="shared" si="228"/>
        <v>465272.00000000006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29">C180</f>
        <v>Weights</v>
      </c>
      <c r="D191" s="77" t="str">
        <f>D180</f>
        <v>SPED</v>
      </c>
      <c r="E191" s="77" t="str">
        <f t="shared" ref="E191:F191" si="230">E180</f>
        <v>NSLP</v>
      </c>
      <c r="F191" s="77" t="str">
        <f t="shared" si="230"/>
        <v>Mt. Rose</v>
      </c>
      <c r="H191" s="77" t="str">
        <f>H180</f>
        <v>Operating</v>
      </c>
      <c r="I191" s="77" t="str">
        <f t="shared" ref="I191" si="231">I180</f>
        <v>Weights</v>
      </c>
      <c r="J191" s="77" t="str">
        <f>J180</f>
        <v>SPED</v>
      </c>
      <c r="K191" s="77" t="str">
        <f t="shared" ref="K191:L191" si="232">K180</f>
        <v>NSLP</v>
      </c>
      <c r="L191" s="77" t="str">
        <f t="shared" si="232"/>
        <v>New Campus</v>
      </c>
      <c r="N191" s="77" t="str">
        <f>N180</f>
        <v>Operating</v>
      </c>
      <c r="O191" s="77" t="str">
        <f t="shared" ref="O191" si="233">O180</f>
        <v>Weights</v>
      </c>
      <c r="P191" s="77" t="str">
        <f>P180</f>
        <v>SPED</v>
      </c>
      <c r="Q191" s="77" t="str">
        <f t="shared" ref="Q191:R191" si="234">Q180</f>
        <v>NSLP</v>
      </c>
      <c r="R191" s="77" t="str">
        <f t="shared" si="234"/>
        <v>DANN Total</v>
      </c>
    </row>
    <row r="192" spans="1:18" x14ac:dyDescent="0.35">
      <c r="A192" s="63" t="s">
        <v>137</v>
      </c>
      <c r="B192" s="62">
        <f>'FY27'!B192*1.03</f>
        <v>69556.444457999998</v>
      </c>
      <c r="C192" s="62"/>
      <c r="D192" s="62"/>
      <c r="E192" s="62"/>
      <c r="F192" s="62">
        <f t="shared" ref="F192:F202" si="235">SUM(B192:E192)</f>
        <v>69556.444457999998</v>
      </c>
      <c r="H192" s="62">
        <f>(3675*12)*1.04*1.04*1.04*1.04*1.05</f>
        <v>54170.300620800015</v>
      </c>
      <c r="I192" s="62"/>
      <c r="J192" s="62"/>
      <c r="K192" s="62"/>
      <c r="L192" s="62">
        <f t="shared" ref="L192:L202" si="236">SUM(H192:K192)</f>
        <v>54170.300620800015</v>
      </c>
      <c r="N192" s="7">
        <f t="shared" ref="N192:Q202" si="237">B192+H192</f>
        <v>123726.74507880001</v>
      </c>
      <c r="O192" s="7">
        <f t="shared" si="237"/>
        <v>0</v>
      </c>
      <c r="P192" s="7">
        <f t="shared" si="237"/>
        <v>0</v>
      </c>
      <c r="Q192" s="7">
        <f t="shared" si="237"/>
        <v>0</v>
      </c>
      <c r="R192" s="62">
        <f t="shared" ref="R192:R202" si="238">SUM(N192:Q192)</f>
        <v>123726.74507880001</v>
      </c>
    </row>
    <row r="193" spans="1:18" x14ac:dyDescent="0.35">
      <c r="A193" s="63" t="s">
        <v>138</v>
      </c>
      <c r="B193" s="62">
        <f>'FY27'!B193*1.03</f>
        <v>4405.2414823400013</v>
      </c>
      <c r="C193" s="15"/>
      <c r="D193" s="15"/>
      <c r="E193" s="15"/>
      <c r="F193" s="62">
        <f t="shared" si="235"/>
        <v>4405.2414823400013</v>
      </c>
      <c r="H193" s="15">
        <v>0</v>
      </c>
      <c r="I193" s="15"/>
      <c r="J193" s="15"/>
      <c r="K193" s="15"/>
      <c r="L193" s="62">
        <f t="shared" si="236"/>
        <v>0</v>
      </c>
      <c r="N193" s="7">
        <f t="shared" si="237"/>
        <v>4405.2414823400013</v>
      </c>
      <c r="O193" s="7">
        <f t="shared" si="237"/>
        <v>0</v>
      </c>
      <c r="P193" s="7">
        <f t="shared" si="237"/>
        <v>0</v>
      </c>
      <c r="Q193" s="7">
        <f t="shared" si="237"/>
        <v>0</v>
      </c>
      <c r="R193" s="62">
        <f t="shared" si="238"/>
        <v>4405.2414823400013</v>
      </c>
    </row>
    <row r="194" spans="1:18" x14ac:dyDescent="0.35">
      <c r="A194" s="63" t="s">
        <v>139</v>
      </c>
      <c r="B194" s="62">
        <f>'FY27'!B194*1.03</f>
        <v>6955.6444458000014</v>
      </c>
      <c r="C194" s="7"/>
      <c r="D194" s="7"/>
      <c r="E194" s="7"/>
      <c r="F194" s="62">
        <f t="shared" si="235"/>
        <v>6955.6444458000014</v>
      </c>
      <c r="H194" s="7">
        <f>(350*12)*1.04*1.04*1.04*1.04*1.04</f>
        <v>5109.9421900800016</v>
      </c>
      <c r="I194" s="7"/>
      <c r="J194" s="7"/>
      <c r="K194" s="7"/>
      <c r="L194" s="62">
        <f t="shared" si="236"/>
        <v>5109.9421900800016</v>
      </c>
      <c r="N194" s="7">
        <f t="shared" si="237"/>
        <v>12065.586635880003</v>
      </c>
      <c r="O194" s="7">
        <f t="shared" si="237"/>
        <v>0</v>
      </c>
      <c r="P194" s="7">
        <f t="shared" si="237"/>
        <v>0</v>
      </c>
      <c r="Q194" s="7">
        <f t="shared" si="237"/>
        <v>0</v>
      </c>
      <c r="R194" s="62">
        <f t="shared" si="238"/>
        <v>12065.586635880003</v>
      </c>
    </row>
    <row r="195" spans="1:18" x14ac:dyDescent="0.35">
      <c r="A195" s="63" t="s">
        <v>140</v>
      </c>
      <c r="B195" s="62">
        <f>'FY27'!B195*1.03</f>
        <v>27822.577783200006</v>
      </c>
      <c r="C195" s="7"/>
      <c r="D195" s="7"/>
      <c r="E195" s="7"/>
      <c r="F195" s="62">
        <f t="shared" si="235"/>
        <v>27822.577783200006</v>
      </c>
      <c r="H195" s="7">
        <f>((165*12)+(845*12)+3500)*1.04*1.04*1.04*1.04*1.04</f>
        <v>19004.118335488005</v>
      </c>
      <c r="I195" s="7"/>
      <c r="J195" s="7"/>
      <c r="K195" s="7"/>
      <c r="L195" s="62">
        <f t="shared" si="236"/>
        <v>19004.118335488005</v>
      </c>
      <c r="N195" s="7">
        <f t="shared" si="237"/>
        <v>46826.696118688007</v>
      </c>
      <c r="O195" s="7">
        <f t="shared" si="237"/>
        <v>0</v>
      </c>
      <c r="P195" s="7">
        <f t="shared" si="237"/>
        <v>0</v>
      </c>
      <c r="Q195" s="7">
        <f t="shared" si="237"/>
        <v>0</v>
      </c>
      <c r="R195" s="62">
        <f t="shared" si="238"/>
        <v>46826.696118688007</v>
      </c>
    </row>
    <row r="196" spans="1:18" x14ac:dyDescent="0.35">
      <c r="A196" s="63" t="s">
        <v>141</v>
      </c>
      <c r="B196" s="62">
        <f>'FY27'!B196*1.03</f>
        <v>8114.9185201</v>
      </c>
      <c r="C196" s="7"/>
      <c r="D196" s="7"/>
      <c r="E196" s="7"/>
      <c r="F196" s="62">
        <f t="shared" si="235"/>
        <v>8114.9185201</v>
      </c>
      <c r="H196" s="7">
        <f>((270*12)+(105*12)+2500)*1.03*1.03*1.03*1.04*1.05</f>
        <v>8352.8051880000003</v>
      </c>
      <c r="I196" s="7"/>
      <c r="J196" s="7"/>
      <c r="K196" s="7"/>
      <c r="L196" s="62">
        <f t="shared" si="236"/>
        <v>8352.8051880000003</v>
      </c>
      <c r="N196" s="7">
        <f t="shared" si="237"/>
        <v>16467.723708099998</v>
      </c>
      <c r="O196" s="7">
        <f t="shared" si="237"/>
        <v>0</v>
      </c>
      <c r="P196" s="7">
        <f t="shared" si="237"/>
        <v>0</v>
      </c>
      <c r="Q196" s="7">
        <f t="shared" si="237"/>
        <v>0</v>
      </c>
      <c r="R196" s="62">
        <f t="shared" si="238"/>
        <v>16467.723708099998</v>
      </c>
    </row>
    <row r="197" spans="1:18" x14ac:dyDescent="0.35">
      <c r="A197" s="63" t="s">
        <v>142</v>
      </c>
      <c r="B197" s="62">
        <f>'FY27'!B197*1.03</f>
        <v>125935.65236824678</v>
      </c>
      <c r="C197" s="11"/>
      <c r="D197" s="11"/>
      <c r="E197" s="11"/>
      <c r="F197" s="62">
        <f t="shared" si="235"/>
        <v>125935.65236824678</v>
      </c>
      <c r="G197" s="198"/>
      <c r="H197" s="15">
        <f>B197</f>
        <v>125935.65236824678</v>
      </c>
      <c r="I197" s="11"/>
      <c r="J197" s="11"/>
      <c r="K197" s="11"/>
      <c r="L197" s="62">
        <f t="shared" si="236"/>
        <v>125935.65236824678</v>
      </c>
      <c r="N197" s="7">
        <f t="shared" si="237"/>
        <v>251871.30473649356</v>
      </c>
      <c r="O197" s="7">
        <f t="shared" si="237"/>
        <v>0</v>
      </c>
      <c r="P197" s="7">
        <f t="shared" si="237"/>
        <v>0</v>
      </c>
      <c r="Q197" s="7">
        <f t="shared" si="237"/>
        <v>0</v>
      </c>
      <c r="R197" s="62">
        <f t="shared" si="238"/>
        <v>251871.30473649356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5"/>
        <v>31872</v>
      </c>
      <c r="H198" s="7">
        <f>32*H5</f>
        <v>31872</v>
      </c>
      <c r="I198" s="7"/>
      <c r="J198" s="7"/>
      <c r="K198" s="7"/>
      <c r="L198" s="62">
        <f t="shared" si="236"/>
        <v>31872</v>
      </c>
      <c r="N198" s="7">
        <f t="shared" si="237"/>
        <v>63744</v>
      </c>
      <c r="O198" s="7">
        <f t="shared" si="237"/>
        <v>0</v>
      </c>
      <c r="P198" s="7">
        <f t="shared" si="237"/>
        <v>0</v>
      </c>
      <c r="Q198" s="7">
        <f t="shared" si="237"/>
        <v>0</v>
      </c>
      <c r="R198" s="62">
        <f t="shared" si="238"/>
        <v>63744</v>
      </c>
    </row>
    <row r="199" spans="1:18" x14ac:dyDescent="0.35">
      <c r="A199" s="63" t="s">
        <v>145</v>
      </c>
      <c r="B199" s="7">
        <f>30000+5000+5000+5000</f>
        <v>45000</v>
      </c>
      <c r="C199" s="7"/>
      <c r="D199" s="7"/>
      <c r="E199" s="7"/>
      <c r="F199" s="62">
        <f t="shared" si="235"/>
        <v>45000</v>
      </c>
      <c r="H199" s="7">
        <f>30000+5000+5000+5000</f>
        <v>45000</v>
      </c>
      <c r="I199" s="7"/>
      <c r="J199" s="7"/>
      <c r="K199" s="7"/>
      <c r="L199" s="62">
        <f t="shared" si="236"/>
        <v>45000</v>
      </c>
      <c r="N199" s="7">
        <f t="shared" si="237"/>
        <v>90000</v>
      </c>
      <c r="O199" s="7">
        <f t="shared" si="237"/>
        <v>0</v>
      </c>
      <c r="P199" s="7">
        <f t="shared" si="237"/>
        <v>0</v>
      </c>
      <c r="Q199" s="7">
        <f t="shared" si="237"/>
        <v>0</v>
      </c>
      <c r="R199" s="62">
        <f t="shared" si="238"/>
        <v>90000</v>
      </c>
    </row>
    <row r="200" spans="1:18" x14ac:dyDescent="0.35">
      <c r="A200" s="63" t="s">
        <v>146</v>
      </c>
      <c r="B200" s="7">
        <f>(1263*12)*1.03*1.03*1.03*1.03*1.04</f>
        <v>17740.539985334402</v>
      </c>
      <c r="C200" s="11"/>
      <c r="D200" s="11"/>
      <c r="E200" s="11"/>
      <c r="F200" s="62">
        <f t="shared" si="235"/>
        <v>17740.539985334402</v>
      </c>
      <c r="H200" s="7">
        <f>(1263*12)*1.03*1.03*1.03*1.03*1.04</f>
        <v>17740.539985334402</v>
      </c>
      <c r="I200" s="11"/>
      <c r="J200" s="11"/>
      <c r="K200" s="11"/>
      <c r="L200" s="62">
        <f t="shared" si="236"/>
        <v>17740.539985334402</v>
      </c>
      <c r="N200" s="7">
        <f t="shared" si="237"/>
        <v>35481.079970668805</v>
      </c>
      <c r="O200" s="7">
        <f t="shared" si="237"/>
        <v>0</v>
      </c>
      <c r="P200" s="7">
        <f t="shared" si="237"/>
        <v>0</v>
      </c>
      <c r="Q200" s="7">
        <f t="shared" si="237"/>
        <v>0</v>
      </c>
      <c r="R200" s="62">
        <f t="shared" si="238"/>
        <v>35481.079970668805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5"/>
        <v>15500</v>
      </c>
      <c r="H201" s="7">
        <v>11000</v>
      </c>
      <c r="I201" s="7"/>
      <c r="J201" s="7"/>
      <c r="K201" s="7"/>
      <c r="L201" s="62">
        <f t="shared" si="236"/>
        <v>11000</v>
      </c>
      <c r="N201" s="7">
        <f t="shared" si="237"/>
        <v>26500</v>
      </c>
      <c r="O201" s="7">
        <f t="shared" si="237"/>
        <v>0</v>
      </c>
      <c r="P201" s="7">
        <f t="shared" si="237"/>
        <v>0</v>
      </c>
      <c r="Q201" s="7">
        <f t="shared" si="237"/>
        <v>0</v>
      </c>
      <c r="R201" s="62">
        <f t="shared" si="238"/>
        <v>26500</v>
      </c>
    </row>
    <row r="202" spans="1:18" ht="15" thickBot="1" x14ac:dyDescent="0.4">
      <c r="A202" s="63" t="s">
        <v>148</v>
      </c>
      <c r="B202" s="37">
        <f>((3963*2)+1500)*1.03*1.04*1.05*1.05*1.06</f>
        <v>11800.012376880002</v>
      </c>
      <c r="C202" s="86"/>
      <c r="D202" s="86"/>
      <c r="E202" s="86"/>
      <c r="F202" s="62">
        <f t="shared" si="235"/>
        <v>11800.012376880002</v>
      </c>
      <c r="H202" s="37">
        <f>((3963*2)+1500)*1.03*1.03*1.03*1.05*1.05</f>
        <v>11355.799283955002</v>
      </c>
      <c r="I202" s="86"/>
      <c r="J202" s="86"/>
      <c r="K202" s="86"/>
      <c r="L202" s="62">
        <f t="shared" si="236"/>
        <v>11355.799283955002</v>
      </c>
      <c r="N202" s="7">
        <f t="shared" si="237"/>
        <v>23155.811660835003</v>
      </c>
      <c r="O202" s="7">
        <f t="shared" si="237"/>
        <v>0</v>
      </c>
      <c r="P202" s="7">
        <f t="shared" si="237"/>
        <v>0</v>
      </c>
      <c r="Q202" s="7">
        <f t="shared" si="237"/>
        <v>0</v>
      </c>
      <c r="R202" s="62">
        <f t="shared" si="238"/>
        <v>23155.811660835003</v>
      </c>
    </row>
    <row r="203" spans="1:18" ht="15" thickBot="1" x14ac:dyDescent="0.4">
      <c r="A203" s="95" t="s">
        <v>149</v>
      </c>
      <c r="B203" s="90">
        <f>SUM(B192:B202)</f>
        <v>364703.03141990112</v>
      </c>
      <c r="C203" s="90">
        <f t="shared" ref="C203" si="239">SUM(C192:C202)</f>
        <v>0</v>
      </c>
      <c r="D203" s="90">
        <f>SUM(D192:D202)</f>
        <v>0</v>
      </c>
      <c r="E203" s="90">
        <f t="shared" ref="E203:F203" si="240">SUM(E192:E202)</f>
        <v>0</v>
      </c>
      <c r="F203" s="90">
        <f t="shared" si="240"/>
        <v>364703.03141990112</v>
      </c>
      <c r="H203" s="90">
        <f>SUM(H192:H202)</f>
        <v>329541.15797190421</v>
      </c>
      <c r="I203" s="90">
        <f t="shared" ref="I203" si="241">SUM(I192:I202)</f>
        <v>0</v>
      </c>
      <c r="J203" s="90">
        <f>SUM(J192:J202)</f>
        <v>0</v>
      </c>
      <c r="K203" s="90">
        <f t="shared" ref="K203:L203" si="242">SUM(K192:K202)</f>
        <v>0</v>
      </c>
      <c r="L203" s="90">
        <f t="shared" si="242"/>
        <v>329541.15797190421</v>
      </c>
      <c r="N203" s="90">
        <f>SUM(N192:N202)</f>
        <v>694244.18939180544</v>
      </c>
      <c r="O203" s="90">
        <f t="shared" ref="O203" si="243">SUM(O192:O202)</f>
        <v>0</v>
      </c>
      <c r="P203" s="90">
        <f>SUM(P192:P202)</f>
        <v>0</v>
      </c>
      <c r="Q203" s="90">
        <f t="shared" ref="Q203:R203" si="244">SUM(Q192:Q202)</f>
        <v>0</v>
      </c>
      <c r="R203" s="90">
        <f t="shared" si="244"/>
        <v>694244.18939180544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5789553.3556155711</v>
      </c>
      <c r="C205" s="104">
        <f t="shared" ref="C205" si="245">C138+C150+C165+C174+C179+C190+C203</f>
        <v>335232.28456752806</v>
      </c>
      <c r="D205" s="104">
        <f>D138+D150+D165+D174+D179+D190+D203</f>
        <v>720244.20602206944</v>
      </c>
      <c r="E205" s="104">
        <f t="shared" ref="E205" si="246">E138+E150+E165+E174+E179+E190+E203</f>
        <v>90918.627281637499</v>
      </c>
      <c r="F205" s="104">
        <f>F138+F150+F165+F174+F179+F190+F203</f>
        <v>6931398.4734868063</v>
      </c>
      <c r="H205" s="104">
        <f>H138+H150+H165+H174+H179+H190+H203</f>
        <v>5267409.6133352416</v>
      </c>
      <c r="I205" s="104">
        <f t="shared" ref="I205" si="247">I138+I150+I165+I174+I179+I190+I203</f>
        <v>457872.46190385986</v>
      </c>
      <c r="J205" s="104">
        <f>J138+J150+J165+J174+J179+J190+J203</f>
        <v>911540.13500000001</v>
      </c>
      <c r="K205" s="104">
        <f t="shared" ref="K205" si="248">K138+K150+K165+K174+K179+K190+K203</f>
        <v>397154.4</v>
      </c>
      <c r="L205" s="104">
        <f>L138+L150+L165+L174+L179+L190+L203</f>
        <v>7027376.6102391016</v>
      </c>
      <c r="N205" s="104">
        <f>N138+N150+N165+N174+N179+N190+N203</f>
        <v>11056962.96895081</v>
      </c>
      <c r="O205" s="104">
        <f t="shared" ref="O205" si="249">O138+O150+O165+O174+O179+O190+O203</f>
        <v>793104.74647138792</v>
      </c>
      <c r="P205" s="104">
        <f>P138+P150+P165+P174+P179+P190+P203</f>
        <v>1631784.3410220696</v>
      </c>
      <c r="Q205" s="104">
        <f t="shared" ref="Q205" si="250">Q138+Q150+Q165+Q174+Q179+Q190+Q203</f>
        <v>488073.02728163754</v>
      </c>
      <c r="R205" s="104">
        <f>R138+R150+R165+R174+R179+R190+R203</f>
        <v>13969925.083725905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51">SUM(B207:E207)</f>
        <v>0</v>
      </c>
      <c r="H207" s="189">
        <v>1459000</v>
      </c>
      <c r="I207" s="7"/>
      <c r="J207" s="7"/>
      <c r="K207" s="7"/>
      <c r="L207" s="7">
        <f t="shared" ref="L207:L216" si="252">SUM(H207:K207)</f>
        <v>1459000</v>
      </c>
      <c r="N207" s="7">
        <f t="shared" ref="N207:Q217" si="253">B207+H207</f>
        <v>1459000</v>
      </c>
      <c r="O207" s="7">
        <f t="shared" si="253"/>
        <v>0</v>
      </c>
      <c r="P207" s="7">
        <f t="shared" si="253"/>
        <v>0</v>
      </c>
      <c r="Q207" s="7">
        <f t="shared" si="253"/>
        <v>0</v>
      </c>
      <c r="R207" s="7">
        <f t="shared" ref="R207:R216" si="254">SUM(N207:Q207)</f>
        <v>1459000</v>
      </c>
    </row>
    <row r="208" spans="1:18" x14ac:dyDescent="0.35">
      <c r="A208" s="106" t="s">
        <v>152</v>
      </c>
      <c r="B208" s="7">
        <v>1196783.33</v>
      </c>
      <c r="C208" s="7">
        <v>0</v>
      </c>
      <c r="D208" s="7"/>
      <c r="E208" s="7"/>
      <c r="F208" s="7">
        <f t="shared" si="251"/>
        <v>1196783.33</v>
      </c>
      <c r="H208" s="7">
        <v>0</v>
      </c>
      <c r="I208" s="7">
        <v>0</v>
      </c>
      <c r="J208" s="7"/>
      <c r="K208" s="7"/>
      <c r="L208" s="7">
        <f t="shared" si="252"/>
        <v>0</v>
      </c>
      <c r="N208" s="7">
        <f t="shared" si="253"/>
        <v>1196783.33</v>
      </c>
      <c r="O208" s="7">
        <f t="shared" si="253"/>
        <v>0</v>
      </c>
      <c r="P208" s="7">
        <f t="shared" si="253"/>
        <v>0</v>
      </c>
      <c r="Q208" s="7">
        <f t="shared" si="253"/>
        <v>0</v>
      </c>
      <c r="R208" s="7">
        <f t="shared" si="254"/>
        <v>1196783.33</v>
      </c>
    </row>
    <row r="209" spans="1:18" hidden="1" x14ac:dyDescent="0.35">
      <c r="A209" s="106"/>
      <c r="B209" s="7"/>
      <c r="C209" s="7"/>
      <c r="D209" s="7"/>
      <c r="E209" s="7"/>
      <c r="F209" s="7">
        <f t="shared" si="251"/>
        <v>0</v>
      </c>
      <c r="H209" s="7"/>
      <c r="I209" s="7"/>
      <c r="J209" s="7"/>
      <c r="K209" s="7"/>
      <c r="L209" s="7">
        <f t="shared" si="252"/>
        <v>0</v>
      </c>
      <c r="N209" s="7">
        <f t="shared" si="253"/>
        <v>0</v>
      </c>
      <c r="O209" s="7">
        <f t="shared" si="253"/>
        <v>0</v>
      </c>
      <c r="P209" s="7">
        <f t="shared" si="253"/>
        <v>0</v>
      </c>
      <c r="Q209" s="7">
        <f t="shared" si="253"/>
        <v>0</v>
      </c>
      <c r="R209" s="7">
        <f t="shared" si="254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51"/>
        <v>0</v>
      </c>
      <c r="H210" s="7"/>
      <c r="I210" s="7"/>
      <c r="J210" s="7"/>
      <c r="K210" s="7"/>
      <c r="L210" s="7">
        <f t="shared" si="252"/>
        <v>0</v>
      </c>
      <c r="N210" s="7">
        <f t="shared" si="253"/>
        <v>0</v>
      </c>
      <c r="O210" s="7">
        <f t="shared" si="253"/>
        <v>0</v>
      </c>
      <c r="P210" s="7">
        <f t="shared" si="253"/>
        <v>0</v>
      </c>
      <c r="Q210" s="7">
        <f t="shared" si="253"/>
        <v>0</v>
      </c>
      <c r="R210" s="7">
        <f t="shared" si="254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51"/>
        <v>0</v>
      </c>
      <c r="H211" s="7"/>
      <c r="I211" s="7"/>
      <c r="J211" s="7"/>
      <c r="K211" s="7"/>
      <c r="L211" s="7">
        <f t="shared" si="252"/>
        <v>0</v>
      </c>
      <c r="N211" s="7">
        <f t="shared" si="253"/>
        <v>0</v>
      </c>
      <c r="O211" s="7">
        <f t="shared" si="253"/>
        <v>0</v>
      </c>
      <c r="P211" s="7">
        <f t="shared" si="253"/>
        <v>0</v>
      </c>
      <c r="Q211" s="7">
        <f t="shared" si="253"/>
        <v>0</v>
      </c>
      <c r="R211" s="7">
        <f t="shared" si="254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51"/>
        <v>0</v>
      </c>
      <c r="H212" s="7"/>
      <c r="I212" s="7"/>
      <c r="J212" s="7"/>
      <c r="K212" s="7"/>
      <c r="L212" s="7">
        <f t="shared" si="252"/>
        <v>0</v>
      </c>
      <c r="N212" s="7">
        <f t="shared" si="253"/>
        <v>0</v>
      </c>
      <c r="O212" s="7">
        <f t="shared" si="253"/>
        <v>0</v>
      </c>
      <c r="P212" s="7">
        <f t="shared" si="253"/>
        <v>0</v>
      </c>
      <c r="Q212" s="7">
        <f t="shared" si="253"/>
        <v>0</v>
      </c>
      <c r="R212" s="7">
        <f t="shared" si="254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51"/>
        <v>0</v>
      </c>
      <c r="H213" s="7"/>
      <c r="I213" s="7"/>
      <c r="J213" s="7"/>
      <c r="K213" s="7"/>
      <c r="L213" s="7">
        <f t="shared" si="252"/>
        <v>0</v>
      </c>
      <c r="N213" s="7">
        <f t="shared" si="253"/>
        <v>0</v>
      </c>
      <c r="O213" s="7">
        <f t="shared" si="253"/>
        <v>0</v>
      </c>
      <c r="P213" s="7">
        <f t="shared" si="253"/>
        <v>0</v>
      </c>
      <c r="Q213" s="7">
        <f t="shared" si="253"/>
        <v>0</v>
      </c>
      <c r="R213" s="7">
        <f t="shared" si="254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51"/>
        <v>0</v>
      </c>
      <c r="H214" s="7"/>
      <c r="I214" s="7"/>
      <c r="J214" s="7"/>
      <c r="K214" s="7"/>
      <c r="L214" s="7">
        <f t="shared" si="252"/>
        <v>0</v>
      </c>
      <c r="N214" s="7">
        <f t="shared" si="253"/>
        <v>0</v>
      </c>
      <c r="O214" s="7">
        <f t="shared" si="253"/>
        <v>0</v>
      </c>
      <c r="P214" s="7">
        <f t="shared" si="253"/>
        <v>0</v>
      </c>
      <c r="Q214" s="7">
        <f t="shared" si="253"/>
        <v>0</v>
      </c>
      <c r="R214" s="7">
        <f t="shared" si="254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51"/>
        <v>0</v>
      </c>
      <c r="H215" s="7">
        <v>0</v>
      </c>
      <c r="I215" s="7">
        <v>0</v>
      </c>
      <c r="J215" s="7"/>
      <c r="K215" s="7"/>
      <c r="L215" s="7">
        <f t="shared" si="252"/>
        <v>0</v>
      </c>
      <c r="N215" s="7">
        <f t="shared" si="253"/>
        <v>0</v>
      </c>
      <c r="O215" s="7">
        <f t="shared" si="253"/>
        <v>0</v>
      </c>
      <c r="P215" s="7">
        <f t="shared" si="253"/>
        <v>0</v>
      </c>
      <c r="Q215" s="7">
        <f t="shared" si="253"/>
        <v>0</v>
      </c>
      <c r="R215" s="7">
        <f t="shared" si="254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51"/>
        <v>0</v>
      </c>
      <c r="H216" s="7"/>
      <c r="I216" s="7"/>
      <c r="J216" s="7"/>
      <c r="K216" s="7"/>
      <c r="L216" s="7">
        <f t="shared" si="252"/>
        <v>0</v>
      </c>
      <c r="N216" s="7">
        <f t="shared" si="253"/>
        <v>0</v>
      </c>
      <c r="O216" s="7">
        <f t="shared" si="253"/>
        <v>0</v>
      </c>
      <c r="P216" s="7">
        <f t="shared" si="253"/>
        <v>0</v>
      </c>
      <c r="Q216" s="7">
        <f t="shared" si="253"/>
        <v>0</v>
      </c>
      <c r="R216" s="7">
        <f t="shared" si="254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3"/>
        <v>0</v>
      </c>
      <c r="O217" s="7">
        <f t="shared" si="253"/>
        <v>0</v>
      </c>
      <c r="P217" s="7">
        <f t="shared" si="253"/>
        <v>0</v>
      </c>
      <c r="Q217" s="7">
        <f t="shared" si="253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581271.31438442878</v>
      </c>
      <c r="C218" s="149">
        <f t="shared" ref="C218" si="255">C87-C205-C207-C208-C214-C215</f>
        <v>-267778.28456752806</v>
      </c>
      <c r="D218" s="149">
        <f>D87-D205-D207-D208-D214-D215</f>
        <v>-262720.20602206944</v>
      </c>
      <c r="E218" s="149">
        <f t="shared" ref="E218:F218" si="256">E87-E205-E207-E208-E214-E215</f>
        <v>-28170.627281637491</v>
      </c>
      <c r="F218" s="149">
        <f t="shared" si="256"/>
        <v>27152.196513193659</v>
      </c>
      <c r="H218" s="149">
        <f>H87-H205-H207-H208-H214-H215</f>
        <v>841198.38666475844</v>
      </c>
      <c r="I218" s="149">
        <f t="shared" ref="I218" si="257">I87-I205-I207-I208-I214-I215</f>
        <v>8288.9780961401411</v>
      </c>
      <c r="J218" s="149">
        <f>J87-J205-J207-J208-J214-J215</f>
        <v>-312868.13500000001</v>
      </c>
      <c r="K218" s="149">
        <f t="shared" ref="K218:L218" si="258">K87-K205-K207-K208-K214-K215</f>
        <v>-47110.200000000012</v>
      </c>
      <c r="L218" s="149">
        <f t="shared" si="258"/>
        <v>496109.02976089902</v>
      </c>
      <c r="N218" s="149">
        <f>N87-N205-N207-N208-N214-N215</f>
        <v>1422469.70104919</v>
      </c>
      <c r="O218" s="149">
        <f t="shared" ref="O218" si="259">O87-O205-O207-O208-O214-O215</f>
        <v>-259489.30647138797</v>
      </c>
      <c r="P218" s="149">
        <f>P87-P205-P207-P208-P214-P215</f>
        <v>-575588.34102206957</v>
      </c>
      <c r="Q218" s="149">
        <f t="shared" ref="Q218:R218" si="260">Q87-Q205-Q207-Q208-Q214-Q215</f>
        <v>-75280.827281637525</v>
      </c>
      <c r="R218" s="149">
        <f t="shared" si="260"/>
        <v>512111.22627409175</v>
      </c>
    </row>
    <row r="219" spans="1:18" ht="15" thickBot="1" x14ac:dyDescent="0.4">
      <c r="A219" s="108"/>
      <c r="B219" s="110">
        <f>B218/(B87-B77)</f>
        <v>7.6810441870724375E-2</v>
      </c>
      <c r="C219" s="110">
        <f t="shared" ref="C219" si="261">C218/(C87-C77)</f>
        <v>-3.9697910363733517</v>
      </c>
      <c r="D219" s="110">
        <f>D218/(D87-D77)</f>
        <v>-0.57422169333645767</v>
      </c>
      <c r="E219" s="110">
        <f>E218/(E87)</f>
        <v>-0.4489486084279577</v>
      </c>
      <c r="F219" s="110">
        <f t="shared" ref="F219" si="262">F218/(F87-F77)</f>
        <v>3.3551940644428939E-3</v>
      </c>
      <c r="H219" s="110">
        <f>H218/(H87-H77)</f>
        <v>0.1111577643377879</v>
      </c>
      <c r="I219" s="110">
        <f t="shared" ref="I219" si="263">I218/(I87-I77)</f>
        <v>1.7781346514074911E-2</v>
      </c>
      <c r="J219" s="110">
        <f>J218/(J87-J77)</f>
        <v>-0.52260358760723735</v>
      </c>
      <c r="K219" s="110">
        <f>K218/(K87)</f>
        <v>-0.13458357544561519</v>
      </c>
      <c r="L219" s="110">
        <f t="shared" ref="L219" si="264">L218/(L87-L77)</f>
        <v>5.747030352990138E-2</v>
      </c>
      <c r="N219" s="110">
        <f>N218/(N87-N77)</f>
        <v>9.3984103104256325E-2</v>
      </c>
      <c r="O219" s="110">
        <f t="shared" ref="O219" si="265">O218/(O87-O77)</f>
        <v>-0.48628522906194016</v>
      </c>
      <c r="P219" s="110">
        <f>P218/(P87-P77)</f>
        <v>-0.54496356833586712</v>
      </c>
      <c r="Q219" s="110">
        <f>Q218/(Q87)</f>
        <v>-0.18236979109982582</v>
      </c>
      <c r="R219" s="110">
        <f t="shared" ref="R219" si="266">R218/(R87-R77)</f>
        <v>3.0619455071823298E-2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27</v>
      </c>
      <c r="B221" s="174" t="str">
        <f>B1</f>
        <v>Operating</v>
      </c>
      <c r="C221" s="174" t="str">
        <f t="shared" ref="C221" si="267">C1</f>
        <v>Weights</v>
      </c>
      <c r="D221" s="174" t="str">
        <f>D1</f>
        <v>SPED</v>
      </c>
      <c r="E221" s="174" t="str">
        <f t="shared" ref="E221:F221" si="268">E1</f>
        <v>NSLP</v>
      </c>
      <c r="F221" s="174" t="str">
        <f t="shared" si="268"/>
        <v>Mt. Rose</v>
      </c>
      <c r="H221" s="174" t="str">
        <f>H1</f>
        <v>Operating</v>
      </c>
      <c r="I221" s="174" t="str">
        <f t="shared" ref="I221" si="269">I1</f>
        <v>Weights</v>
      </c>
      <c r="J221" s="174" t="str">
        <f>J1</f>
        <v>SPED</v>
      </c>
      <c r="K221" s="174" t="str">
        <f t="shared" ref="K221:L221" si="270">K1</f>
        <v>NSLP</v>
      </c>
      <c r="L221" s="174" t="str">
        <f t="shared" si="270"/>
        <v>New Campus</v>
      </c>
      <c r="N221" s="174" t="str">
        <f>N1</f>
        <v>Operating</v>
      </c>
      <c r="O221" s="174" t="str">
        <f t="shared" ref="O221" si="271">O1</f>
        <v>Weights</v>
      </c>
      <c r="P221" s="174" t="str">
        <f>P1</f>
        <v>SPED</v>
      </c>
      <c r="Q221" s="174" t="str">
        <f t="shared" ref="Q221:R221" si="272">Q1</f>
        <v>NSLP</v>
      </c>
      <c r="R221" s="174" t="str">
        <f t="shared" si="272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9"/>
  <sheetViews>
    <sheetView zoomScale="75" zoomScaleNormal="75" workbookViewId="0">
      <pane xSplit="1" topLeftCell="B1" activePane="topRight" state="frozen"/>
      <selection activeCell="A2" sqref="A2"/>
      <selection pane="topRight" activeCell="C182" sqref="C182"/>
    </sheetView>
  </sheetViews>
  <sheetFormatPr defaultRowHeight="14.5" x14ac:dyDescent="0.35"/>
  <cols>
    <col min="1" max="1" width="55.54296875" bestFit="1" customWidth="1"/>
    <col min="2" max="7" width="14.81640625" customWidth="1"/>
    <col min="9" max="13" width="14" bestFit="1" customWidth="1"/>
  </cols>
  <sheetData>
    <row r="1" spans="1:13" x14ac:dyDescent="0.35">
      <c r="A1" s="1" t="s">
        <v>266</v>
      </c>
      <c r="B1" s="3" t="s">
        <v>259</v>
      </c>
      <c r="C1" s="3" t="s">
        <v>260</v>
      </c>
      <c r="D1" s="3" t="s">
        <v>261</v>
      </c>
      <c r="E1" s="3" t="s">
        <v>262</v>
      </c>
      <c r="F1" s="3" t="s">
        <v>265</v>
      </c>
      <c r="G1" s="3" t="s">
        <v>407</v>
      </c>
    </row>
    <row r="2" spans="1:13" x14ac:dyDescent="0.35">
      <c r="A2" s="6" t="s">
        <v>228</v>
      </c>
      <c r="B2" s="7"/>
      <c r="C2" s="7">
        <f>'FY24'!L2</f>
        <v>7215</v>
      </c>
      <c r="D2" s="7">
        <f>'FY25'!L2</f>
        <v>7309</v>
      </c>
      <c r="E2" s="7">
        <f>'FY26'!L2</f>
        <v>7404</v>
      </c>
      <c r="F2" s="7">
        <f>'FY27'!L2</f>
        <v>7500</v>
      </c>
      <c r="G2" s="7">
        <f>'FY28'!L2</f>
        <v>7598</v>
      </c>
      <c r="J2" s="121">
        <f>(D2-C2)/D2</f>
        <v>1.2860856478314408E-2</v>
      </c>
      <c r="K2" s="121">
        <f>(E2-D2)/E2</f>
        <v>1.2830902215018909E-2</v>
      </c>
      <c r="L2" s="121">
        <f>(F2-E2)/F2</f>
        <v>1.2800000000000001E-2</v>
      </c>
      <c r="M2" s="121">
        <f>(G2-F2)/G2</f>
        <v>1.2898131087128192E-2</v>
      </c>
    </row>
    <row r="3" spans="1:13" hidden="1" x14ac:dyDescent="0.35">
      <c r="A3" s="8"/>
      <c r="B3" s="7"/>
      <c r="C3" s="7">
        <f>'FY24'!R3</f>
        <v>0</v>
      </c>
      <c r="D3" s="7">
        <f>'FY25'!R3</f>
        <v>0</v>
      </c>
      <c r="E3" s="7">
        <f>'FY26'!R3</f>
        <v>0</v>
      </c>
      <c r="F3" s="7">
        <f>'FY27'!R3</f>
        <v>0</v>
      </c>
      <c r="G3" s="7">
        <f>'FY28'!R3</f>
        <v>0</v>
      </c>
    </row>
    <row r="4" spans="1:13" hidden="1" x14ac:dyDescent="0.35">
      <c r="A4" s="8"/>
      <c r="B4" s="7"/>
      <c r="C4" s="7">
        <f>'FY24'!R4</f>
        <v>0</v>
      </c>
      <c r="D4" s="7">
        <f>'FY25'!R4</f>
        <v>0</v>
      </c>
      <c r="E4" s="7">
        <f>'FY26'!R4</f>
        <v>0</v>
      </c>
      <c r="F4" s="7">
        <f>'FY27'!R4</f>
        <v>0</v>
      </c>
      <c r="G4" s="7">
        <f>'FY28'!R4</f>
        <v>0</v>
      </c>
    </row>
    <row r="5" spans="1:13" x14ac:dyDescent="0.35">
      <c r="A5" s="8" t="s">
        <v>0</v>
      </c>
      <c r="B5" s="9"/>
      <c r="C5" s="9">
        <f>'FY24'!L5</f>
        <v>544</v>
      </c>
      <c r="D5" s="9">
        <f>'FY25'!L5</f>
        <v>721</v>
      </c>
      <c r="E5" s="9">
        <f>'FY26'!L5</f>
        <v>872</v>
      </c>
      <c r="F5" s="9">
        <f>'FY27'!L5</f>
        <v>996</v>
      </c>
      <c r="G5" s="9">
        <f>'FY28'!L5</f>
        <v>996</v>
      </c>
    </row>
    <row r="6" spans="1:13" x14ac:dyDescent="0.35">
      <c r="A6" s="10" t="s">
        <v>1</v>
      </c>
      <c r="B6" s="9"/>
      <c r="C6" s="9">
        <f>'FY24'!L6</f>
        <v>100</v>
      </c>
      <c r="D6" s="9">
        <f>'FY25'!L6</f>
        <v>100</v>
      </c>
      <c r="E6" s="9">
        <f>'FY26'!L6</f>
        <v>100</v>
      </c>
      <c r="F6" s="9">
        <f>'FY27'!L6</f>
        <v>100</v>
      </c>
      <c r="G6" s="9">
        <f>'FY28'!L6</f>
        <v>100</v>
      </c>
    </row>
    <row r="7" spans="1:13" x14ac:dyDescent="0.35">
      <c r="A7" s="12" t="s">
        <v>2</v>
      </c>
      <c r="B7" s="9"/>
      <c r="C7" s="9">
        <f>'FY24'!L7</f>
        <v>104</v>
      </c>
      <c r="D7" s="9">
        <f>'FY25'!L7</f>
        <v>104</v>
      </c>
      <c r="E7" s="9">
        <f>'FY26'!L7</f>
        <v>104</v>
      </c>
      <c r="F7" s="9">
        <f>'FY27'!L7</f>
        <v>104</v>
      </c>
      <c r="G7" s="9">
        <f>'FY28'!L7</f>
        <v>104</v>
      </c>
    </row>
    <row r="8" spans="1:13" x14ac:dyDescent="0.35">
      <c r="A8" s="12" t="s">
        <v>3</v>
      </c>
      <c r="B8" s="9"/>
      <c r="C8" s="9">
        <f>'FY24'!L8</f>
        <v>104</v>
      </c>
      <c r="D8" s="9">
        <f>'FY25'!L8</f>
        <v>104</v>
      </c>
      <c r="E8" s="9">
        <f>'FY26'!L8</f>
        <v>104</v>
      </c>
      <c r="F8" s="9">
        <f>'FY27'!L8</f>
        <v>104</v>
      </c>
      <c r="G8" s="9">
        <f>'FY28'!L8</f>
        <v>104</v>
      </c>
    </row>
    <row r="9" spans="1:13" x14ac:dyDescent="0.35">
      <c r="A9" s="13" t="s">
        <v>4</v>
      </c>
      <c r="B9" s="9"/>
      <c r="C9" s="9">
        <f>'FY24'!L9</f>
        <v>104</v>
      </c>
      <c r="D9" s="9">
        <f>'FY25'!L9</f>
        <v>104</v>
      </c>
      <c r="E9" s="9">
        <f>'FY26'!L9</f>
        <v>104</v>
      </c>
      <c r="F9" s="9">
        <f>'FY27'!L9</f>
        <v>104</v>
      </c>
      <c r="G9" s="9">
        <f>'FY28'!L9</f>
        <v>104</v>
      </c>
    </row>
    <row r="10" spans="1:13" x14ac:dyDescent="0.35">
      <c r="A10" s="13" t="s">
        <v>5</v>
      </c>
      <c r="B10" s="9"/>
      <c r="C10" s="9">
        <f>'FY24'!L10</f>
        <v>78</v>
      </c>
      <c r="D10" s="9">
        <f>'FY25'!L10</f>
        <v>104</v>
      </c>
      <c r="E10" s="9">
        <f>'FY26'!L10</f>
        <v>104</v>
      </c>
      <c r="F10" s="9">
        <f>'FY27'!L10</f>
        <v>104</v>
      </c>
      <c r="G10" s="9">
        <f>'FY28'!L10</f>
        <v>104</v>
      </c>
    </row>
    <row r="11" spans="1:13" x14ac:dyDescent="0.35">
      <c r="A11" s="13" t="s">
        <v>6</v>
      </c>
      <c r="B11" s="9"/>
      <c r="C11" s="9">
        <f>'FY24'!L11</f>
        <v>54</v>
      </c>
      <c r="D11" s="9">
        <f>'FY25'!L11</f>
        <v>81</v>
      </c>
      <c r="E11" s="9">
        <f>'FY26'!L11</f>
        <v>108</v>
      </c>
      <c r="F11" s="9">
        <f>'FY27'!L11</f>
        <v>108</v>
      </c>
      <c r="G11" s="9">
        <f>'FY28'!L11</f>
        <v>108</v>
      </c>
    </row>
    <row r="12" spans="1:13" x14ac:dyDescent="0.35">
      <c r="A12" s="13" t="s">
        <v>7</v>
      </c>
      <c r="B12" s="9"/>
      <c r="C12" s="9">
        <f>'FY24'!L12</f>
        <v>0</v>
      </c>
      <c r="D12" s="9">
        <f>'FY25'!L12</f>
        <v>124</v>
      </c>
      <c r="E12" s="9">
        <f>'FY26'!L12</f>
        <v>124</v>
      </c>
      <c r="F12" s="9">
        <f>'FY27'!L12</f>
        <v>124</v>
      </c>
      <c r="G12" s="9">
        <f>'FY28'!L12</f>
        <v>124</v>
      </c>
    </row>
    <row r="13" spans="1:13" x14ac:dyDescent="0.35">
      <c r="A13" s="13" t="s">
        <v>8</v>
      </c>
      <c r="B13" s="9"/>
      <c r="C13" s="9">
        <f>'FY24'!L13</f>
        <v>0</v>
      </c>
      <c r="D13" s="9">
        <f>'FY25'!L13</f>
        <v>0</v>
      </c>
      <c r="E13" s="9">
        <f>'FY26'!L13</f>
        <v>124</v>
      </c>
      <c r="F13" s="9">
        <f>'FY27'!L13</f>
        <v>124</v>
      </c>
      <c r="G13" s="9">
        <f>'FY28'!L13</f>
        <v>124</v>
      </c>
    </row>
    <row r="14" spans="1:13" x14ac:dyDescent="0.35">
      <c r="A14" s="13" t="s">
        <v>9</v>
      </c>
      <c r="B14" s="9"/>
      <c r="C14" s="9">
        <f>'FY24'!L14</f>
        <v>0</v>
      </c>
      <c r="D14" s="9">
        <f>'FY25'!L14</f>
        <v>0</v>
      </c>
      <c r="E14" s="9">
        <f>'FY26'!L14</f>
        <v>0</v>
      </c>
      <c r="F14" s="9">
        <f>'FY27'!L14</f>
        <v>124</v>
      </c>
      <c r="G14" s="9">
        <f>'FY28'!L14</f>
        <v>124</v>
      </c>
    </row>
    <row r="15" spans="1:13" x14ac:dyDescent="0.35">
      <c r="A15" s="13" t="s">
        <v>10</v>
      </c>
      <c r="B15" s="9"/>
      <c r="C15" s="9">
        <f>'FY24'!L15</f>
        <v>0</v>
      </c>
      <c r="D15" s="9">
        <f>'FY25'!L15</f>
        <v>0</v>
      </c>
      <c r="E15" s="9">
        <f>'FY26'!L15</f>
        <v>0</v>
      </c>
      <c r="F15" s="9">
        <f>'FY27'!L15</f>
        <v>0</v>
      </c>
      <c r="G15" s="9">
        <f>'FY28'!L15</f>
        <v>0</v>
      </c>
    </row>
    <row r="16" spans="1:13" x14ac:dyDescent="0.35">
      <c r="A16" s="13" t="s">
        <v>11</v>
      </c>
      <c r="B16" s="9"/>
      <c r="C16" s="9">
        <f>'FY24'!L16</f>
        <v>0</v>
      </c>
      <c r="D16" s="9">
        <f>'FY25'!L16</f>
        <v>0</v>
      </c>
      <c r="E16" s="9">
        <f>'FY26'!L16</f>
        <v>0</v>
      </c>
      <c r="F16" s="9">
        <f>'FY27'!L16</f>
        <v>0</v>
      </c>
      <c r="G16" s="9">
        <f>'FY28'!L16</f>
        <v>0</v>
      </c>
    </row>
    <row r="17" spans="1:7" x14ac:dyDescent="0.35">
      <c r="A17" s="13" t="s">
        <v>12</v>
      </c>
      <c r="B17" s="9"/>
      <c r="C17" s="9">
        <f>'FY24'!L17</f>
        <v>0</v>
      </c>
      <c r="D17" s="9">
        <f>'FY25'!L17</f>
        <v>0</v>
      </c>
      <c r="E17" s="9">
        <f>'FY26'!L17</f>
        <v>0</v>
      </c>
      <c r="F17" s="9">
        <f>'FY27'!L17</f>
        <v>0</v>
      </c>
      <c r="G17" s="9">
        <f>'FY28'!L17</f>
        <v>0</v>
      </c>
    </row>
    <row r="18" spans="1:7" x14ac:dyDescent="0.35">
      <c r="A18" s="13" t="s">
        <v>13</v>
      </c>
      <c r="B18" s="9"/>
      <c r="C18" s="9">
        <f>'FY24'!L18</f>
        <v>0</v>
      </c>
      <c r="D18" s="9">
        <f>'FY25'!L18</f>
        <v>0</v>
      </c>
      <c r="E18" s="9">
        <f>'FY26'!L18</f>
        <v>0</v>
      </c>
      <c r="F18" s="9">
        <f>'FY27'!L18</f>
        <v>0</v>
      </c>
      <c r="G18" s="9">
        <f>'FY28'!L18</f>
        <v>0</v>
      </c>
    </row>
    <row r="19" spans="1:7" x14ac:dyDescent="0.35">
      <c r="A19" s="13" t="s">
        <v>0</v>
      </c>
      <c r="B19" s="9"/>
      <c r="C19" s="9">
        <f>'FY24'!L19</f>
        <v>544</v>
      </c>
      <c r="D19" s="9">
        <f>'FY25'!L19</f>
        <v>721</v>
      </c>
      <c r="E19" s="9">
        <f>'FY26'!L19</f>
        <v>872</v>
      </c>
      <c r="F19" s="9">
        <f>'FY27'!L19</f>
        <v>996</v>
      </c>
      <c r="G19" s="9">
        <f>'FY28'!L19</f>
        <v>996</v>
      </c>
    </row>
    <row r="20" spans="1:7" x14ac:dyDescent="0.35">
      <c r="A20" s="16"/>
      <c r="B20" s="7"/>
      <c r="C20" s="7"/>
      <c r="D20" s="7"/>
      <c r="E20" s="7"/>
      <c r="F20" s="7"/>
      <c r="G20" s="7"/>
    </row>
    <row r="21" spans="1:7" x14ac:dyDescent="0.35">
      <c r="A21" s="17" t="s">
        <v>14</v>
      </c>
      <c r="B21" s="18"/>
      <c r="C21" s="18"/>
      <c r="D21" s="18"/>
      <c r="E21" s="18"/>
      <c r="F21" s="18"/>
      <c r="G21" s="18"/>
    </row>
    <row r="22" spans="1:7" x14ac:dyDescent="0.35">
      <c r="A22" s="144" t="s">
        <v>207</v>
      </c>
      <c r="B22" s="94"/>
      <c r="C22" s="94">
        <f>'FY24'!L22</f>
        <v>92.48</v>
      </c>
      <c r="D22" s="94">
        <f>'FY25'!L22</f>
        <v>92.48</v>
      </c>
      <c r="E22" s="94">
        <f>'FY26'!L22</f>
        <v>122.57000000000001</v>
      </c>
      <c r="F22" s="94">
        <f>'FY27'!L22</f>
        <v>148.24</v>
      </c>
      <c r="G22" s="94">
        <f>'FY28'!L22</f>
        <v>168.64000000000001</v>
      </c>
    </row>
    <row r="23" spans="1:7" x14ac:dyDescent="0.35">
      <c r="A23" s="144" t="s">
        <v>208</v>
      </c>
      <c r="B23" s="94"/>
      <c r="C23" s="94">
        <f>'FY24'!L23</f>
        <v>0</v>
      </c>
      <c r="D23" s="94">
        <f>'FY25'!L23</f>
        <v>108.80000000000001</v>
      </c>
      <c r="E23" s="94">
        <f>'FY26'!L23</f>
        <v>144.20000000000002</v>
      </c>
      <c r="F23" s="94">
        <f>'FY27'!L23</f>
        <v>174.4</v>
      </c>
      <c r="G23" s="94">
        <f>'FY28'!L23</f>
        <v>198.4</v>
      </c>
    </row>
    <row r="24" spans="1:7" x14ac:dyDescent="0.35">
      <c r="A24" s="144" t="s">
        <v>209</v>
      </c>
      <c r="B24" s="94"/>
      <c r="C24" s="94">
        <f>'FY24'!L24</f>
        <v>0</v>
      </c>
      <c r="D24" s="94">
        <f>'FY25'!L24</f>
        <v>20</v>
      </c>
      <c r="E24" s="94">
        <f>'FY26'!L24</f>
        <v>25</v>
      </c>
      <c r="F24" s="94">
        <f>'FY27'!L24</f>
        <v>33</v>
      </c>
      <c r="G24" s="94">
        <f>'FY28'!L24</f>
        <v>38</v>
      </c>
    </row>
    <row r="25" spans="1:7" x14ac:dyDescent="0.35">
      <c r="A25" s="144" t="s">
        <v>16</v>
      </c>
      <c r="B25" s="203"/>
      <c r="C25" s="203">
        <f>'FY24'!L25</f>
        <v>0.55000000000000004</v>
      </c>
      <c r="D25" s="203">
        <f>'FY25'!L25</f>
        <v>0.55000000000000004</v>
      </c>
      <c r="E25" s="203">
        <f>'FY26'!L25</f>
        <v>0.55000000000000004</v>
      </c>
      <c r="F25" s="203">
        <f>'FY27'!L25</f>
        <v>0.55000000000000004</v>
      </c>
      <c r="G25" s="203">
        <f>'FY28'!L25</f>
        <v>0.55000000000000004</v>
      </c>
    </row>
    <row r="26" spans="1:7" x14ac:dyDescent="0.35">
      <c r="A26" s="144" t="s">
        <v>210</v>
      </c>
      <c r="B26" s="94"/>
      <c r="C26" s="94">
        <f>'FY24'!L26</f>
        <v>0</v>
      </c>
      <c r="D26" s="94">
        <f>'FY25'!L26</f>
        <v>171.35999999999996</v>
      </c>
      <c r="E26" s="94">
        <f>'FY26'!L26</f>
        <v>227.11499999999998</v>
      </c>
      <c r="F26" s="94">
        <f>'FY27'!L26</f>
        <v>274.67999999999995</v>
      </c>
      <c r="G26" s="94">
        <f>'FY28'!L26</f>
        <v>312.47999999999996</v>
      </c>
    </row>
    <row r="27" spans="1:7" x14ac:dyDescent="0.35">
      <c r="A27" s="20"/>
      <c r="B27" s="94"/>
      <c r="C27" s="94">
        <f>'FY24'!R27</f>
        <v>0</v>
      </c>
      <c r="D27" s="94">
        <f>'FY25'!R27</f>
        <v>0</v>
      </c>
      <c r="E27" s="94">
        <f>'FY26'!R27</f>
        <v>0</v>
      </c>
      <c r="F27" s="94">
        <f>'FY27'!R27</f>
        <v>0</v>
      </c>
      <c r="G27" s="94">
        <f>'FY28'!R27</f>
        <v>0</v>
      </c>
    </row>
    <row r="28" spans="1:7" x14ac:dyDescent="0.35">
      <c r="A28" s="17" t="s">
        <v>17</v>
      </c>
      <c r="B28" s="18"/>
      <c r="C28" s="18"/>
      <c r="D28" s="18"/>
      <c r="E28" s="18"/>
      <c r="F28" s="18"/>
      <c r="G28" s="18"/>
    </row>
    <row r="29" spans="1:7" x14ac:dyDescent="0.35">
      <c r="A29" s="21" t="s">
        <v>18</v>
      </c>
      <c r="B29" s="157"/>
      <c r="C29" s="157">
        <f>'FY24'!L29</f>
        <v>21</v>
      </c>
      <c r="D29" s="157">
        <f>'FY25'!L29</f>
        <v>27</v>
      </c>
      <c r="E29" s="157">
        <f>'FY26'!L29</f>
        <v>32</v>
      </c>
      <c r="F29" s="157">
        <f>'FY27'!L29</f>
        <v>36</v>
      </c>
      <c r="G29" s="157">
        <f>'FY28'!L29</f>
        <v>36</v>
      </c>
    </row>
    <row r="30" spans="1:7" x14ac:dyDescent="0.35">
      <c r="A30" s="21" t="s">
        <v>19</v>
      </c>
      <c r="B30" s="157"/>
      <c r="C30" s="157">
        <f>'FY24'!L30</f>
        <v>4</v>
      </c>
      <c r="D30" s="157">
        <f>'FY25'!L30</f>
        <v>4</v>
      </c>
      <c r="E30" s="157">
        <f>'FY26'!L30</f>
        <v>5</v>
      </c>
      <c r="F30" s="157">
        <f>'FY27'!L30</f>
        <v>6</v>
      </c>
      <c r="G30" s="157">
        <f>'FY28'!L30</f>
        <v>7</v>
      </c>
    </row>
    <row r="31" spans="1:7" x14ac:dyDescent="0.35">
      <c r="A31" s="21" t="s">
        <v>20</v>
      </c>
      <c r="B31" s="157"/>
      <c r="C31" s="157">
        <f>'FY24'!L31</f>
        <v>1</v>
      </c>
      <c r="D31" s="157">
        <f>'FY25'!L31</f>
        <v>1</v>
      </c>
      <c r="E31" s="157">
        <f>'FY26'!L31</f>
        <v>2</v>
      </c>
      <c r="F31" s="157">
        <f>'FY27'!L31</f>
        <v>2</v>
      </c>
      <c r="G31" s="157">
        <f>'FY28'!L31</f>
        <v>2</v>
      </c>
    </row>
    <row r="32" spans="1:7" x14ac:dyDescent="0.35">
      <c r="A32" s="21" t="s">
        <v>21</v>
      </c>
      <c r="B32" s="157"/>
      <c r="C32" s="157">
        <f>'FY24'!L32</f>
        <v>1</v>
      </c>
      <c r="D32" s="157">
        <f>'FY25'!L32</f>
        <v>1</v>
      </c>
      <c r="E32" s="157">
        <f>'FY26'!L32</f>
        <v>1</v>
      </c>
      <c r="F32" s="157">
        <f>'FY27'!L32</f>
        <v>1</v>
      </c>
      <c r="G32" s="157">
        <f>'FY28'!L32</f>
        <v>1</v>
      </c>
    </row>
    <row r="33" spans="1:7" x14ac:dyDescent="0.35">
      <c r="A33" s="21" t="s">
        <v>22</v>
      </c>
      <c r="B33" s="157"/>
      <c r="C33" s="157">
        <f>'FY24'!L33</f>
        <v>1</v>
      </c>
      <c r="D33" s="157">
        <f>'FY25'!L33</f>
        <v>1</v>
      </c>
      <c r="E33" s="157">
        <f>'FY26'!L33</f>
        <v>1</v>
      </c>
      <c r="F33" s="157">
        <f>'FY27'!L33</f>
        <v>1</v>
      </c>
      <c r="G33" s="157">
        <f>'FY28'!L33</f>
        <v>1</v>
      </c>
    </row>
    <row r="34" spans="1:7" x14ac:dyDescent="0.35">
      <c r="A34" s="24" t="s">
        <v>23</v>
      </c>
      <c r="B34" s="157"/>
      <c r="C34" s="157">
        <f>'FY24'!L34</f>
        <v>0</v>
      </c>
      <c r="D34" s="157">
        <f>'FY25'!L34</f>
        <v>0</v>
      </c>
      <c r="E34" s="157">
        <f>'FY26'!L34</f>
        <v>0</v>
      </c>
      <c r="F34" s="157">
        <f>'FY27'!L34</f>
        <v>0</v>
      </c>
      <c r="G34" s="157">
        <f>'FY28'!L34</f>
        <v>0</v>
      </c>
    </row>
    <row r="35" spans="1:7" x14ac:dyDescent="0.35">
      <c r="A35" s="27" t="s">
        <v>24</v>
      </c>
      <c r="B35" s="157"/>
      <c r="C35" s="157">
        <f>'FY24'!L35</f>
        <v>0</v>
      </c>
      <c r="D35" s="157">
        <f>'FY25'!L35</f>
        <v>0</v>
      </c>
      <c r="E35" s="157">
        <f>'FY26'!L35</f>
        <v>0</v>
      </c>
      <c r="F35" s="157">
        <f>'FY27'!L35</f>
        <v>0</v>
      </c>
      <c r="G35" s="157">
        <f>'FY28'!L35</f>
        <v>0</v>
      </c>
    </row>
    <row r="36" spans="1:7" x14ac:dyDescent="0.35">
      <c r="A36" s="28" t="s">
        <v>25</v>
      </c>
      <c r="B36" s="157"/>
      <c r="C36" s="157">
        <f>'FY24'!L36</f>
        <v>0</v>
      </c>
      <c r="D36" s="157">
        <f>'FY25'!L36</f>
        <v>0</v>
      </c>
      <c r="E36" s="157">
        <f>'FY26'!L36</f>
        <v>0</v>
      </c>
      <c r="F36" s="157">
        <f>'FY27'!L36</f>
        <v>0</v>
      </c>
      <c r="G36" s="157">
        <f>'FY28'!L36</f>
        <v>0</v>
      </c>
    </row>
    <row r="37" spans="1:7" x14ac:dyDescent="0.35">
      <c r="A37" s="27" t="s">
        <v>26</v>
      </c>
      <c r="B37" s="157"/>
      <c r="C37" s="157">
        <f>'FY24'!L37</f>
        <v>0.5</v>
      </c>
      <c r="D37" s="157">
        <f>'FY25'!L37</f>
        <v>1</v>
      </c>
      <c r="E37" s="157">
        <f>'FY26'!L37</f>
        <v>1</v>
      </c>
      <c r="F37" s="157">
        <f>'FY27'!L37</f>
        <v>1</v>
      </c>
      <c r="G37" s="157">
        <f>'FY28'!L37</f>
        <v>1</v>
      </c>
    </row>
    <row r="38" spans="1:7" x14ac:dyDescent="0.35">
      <c r="A38" s="27" t="s">
        <v>27</v>
      </c>
      <c r="B38" s="157"/>
      <c r="C38" s="157">
        <f>'FY24'!L38</f>
        <v>0</v>
      </c>
      <c r="D38" s="157">
        <f>'FY25'!L38</f>
        <v>0</v>
      </c>
      <c r="E38" s="157">
        <f>'FY26'!L38</f>
        <v>0</v>
      </c>
      <c r="F38" s="157">
        <f>'FY27'!L38</f>
        <v>0</v>
      </c>
      <c r="G38" s="157">
        <f>'FY28'!L38</f>
        <v>0</v>
      </c>
    </row>
    <row r="39" spans="1:7" x14ac:dyDescent="0.35">
      <c r="A39" s="29" t="s">
        <v>28</v>
      </c>
      <c r="B39" s="30"/>
      <c r="C39" s="30">
        <f>SUM(C29:C38)</f>
        <v>28.5</v>
      </c>
      <c r="D39" s="30">
        <f t="shared" ref="D39:G39" si="0">SUM(D29:D38)</f>
        <v>35</v>
      </c>
      <c r="E39" s="30">
        <f t="shared" si="0"/>
        <v>42</v>
      </c>
      <c r="F39" s="30">
        <f t="shared" si="0"/>
        <v>47</v>
      </c>
      <c r="G39" s="30">
        <f t="shared" si="0"/>
        <v>48</v>
      </c>
    </row>
    <row r="40" spans="1:7" x14ac:dyDescent="0.35">
      <c r="A40" s="31"/>
      <c r="B40" s="23"/>
      <c r="C40" s="23"/>
      <c r="D40" s="23"/>
      <c r="E40" s="23"/>
      <c r="F40" s="23"/>
      <c r="G40" s="23"/>
    </row>
    <row r="41" spans="1:7" x14ac:dyDescent="0.35">
      <c r="A41" s="17" t="s">
        <v>29</v>
      </c>
      <c r="B41" s="32"/>
      <c r="C41" s="32"/>
      <c r="D41" s="32"/>
      <c r="E41" s="32"/>
      <c r="F41" s="32"/>
      <c r="G41" s="32"/>
    </row>
    <row r="42" spans="1:7" x14ac:dyDescent="0.35">
      <c r="A42" s="21" t="s">
        <v>30</v>
      </c>
      <c r="B42" s="157"/>
      <c r="C42" s="157">
        <f>'FY24'!L42</f>
        <v>1</v>
      </c>
      <c r="D42" s="157">
        <f>'FY25'!L42</f>
        <v>1</v>
      </c>
      <c r="E42" s="157">
        <f>'FY26'!L42</f>
        <v>1</v>
      </c>
      <c r="F42" s="157">
        <f>'FY27'!L42</f>
        <v>1</v>
      </c>
      <c r="G42" s="157">
        <f>'FY28'!L42</f>
        <v>1</v>
      </c>
    </row>
    <row r="43" spans="1:7" x14ac:dyDescent="0.35">
      <c r="A43" s="21" t="s">
        <v>31</v>
      </c>
      <c r="B43" s="157"/>
      <c r="C43" s="157">
        <f>'FY24'!L43</f>
        <v>0</v>
      </c>
      <c r="D43" s="157">
        <f>'FY25'!L43</f>
        <v>1</v>
      </c>
      <c r="E43" s="157">
        <f>'FY26'!L43</f>
        <v>1</v>
      </c>
      <c r="F43" s="157">
        <f>'FY27'!L43</f>
        <v>2</v>
      </c>
      <c r="G43" s="157">
        <f>'FY28'!L43</f>
        <v>2</v>
      </c>
    </row>
    <row r="44" spans="1:7" x14ac:dyDescent="0.35">
      <c r="A44" s="34" t="s">
        <v>234</v>
      </c>
      <c r="B44" s="157"/>
      <c r="C44" s="157">
        <f>'FY24'!L44</f>
        <v>0</v>
      </c>
      <c r="D44" s="157">
        <f>'FY25'!L44</f>
        <v>0</v>
      </c>
      <c r="E44" s="157">
        <f>'FY26'!L44</f>
        <v>0</v>
      </c>
      <c r="F44" s="157">
        <f>'FY27'!L44</f>
        <v>0</v>
      </c>
      <c r="G44" s="157">
        <f>'FY28'!L44</f>
        <v>0</v>
      </c>
    </row>
    <row r="45" spans="1:7" x14ac:dyDescent="0.35">
      <c r="A45" s="34" t="s">
        <v>252</v>
      </c>
      <c r="B45" s="157"/>
      <c r="C45" s="157">
        <f>'FY24'!L45</f>
        <v>1</v>
      </c>
      <c r="D45" s="157">
        <f>'FY25'!L45</f>
        <v>1</v>
      </c>
      <c r="E45" s="157">
        <f>'FY26'!L45</f>
        <v>1</v>
      </c>
      <c r="F45" s="157">
        <f>'FY27'!L45</f>
        <v>1</v>
      </c>
      <c r="G45" s="157">
        <f>'FY28'!L45</f>
        <v>1</v>
      </c>
    </row>
    <row r="46" spans="1:7" x14ac:dyDescent="0.35">
      <c r="A46" s="33" t="s">
        <v>32</v>
      </c>
      <c r="B46" s="157"/>
      <c r="C46" s="157">
        <f>'FY24'!L46</f>
        <v>0</v>
      </c>
      <c r="D46" s="157">
        <f>'FY25'!L46</f>
        <v>0</v>
      </c>
      <c r="E46" s="157">
        <f>'FY26'!L46</f>
        <v>1</v>
      </c>
      <c r="F46" s="157">
        <f>'FY27'!L46</f>
        <v>1</v>
      </c>
      <c r="G46" s="157">
        <f>'FY28'!L46</f>
        <v>1</v>
      </c>
    </row>
    <row r="47" spans="1:7" x14ac:dyDescent="0.35">
      <c r="A47" s="33" t="s">
        <v>33</v>
      </c>
      <c r="B47" s="157"/>
      <c r="C47" s="157">
        <f>'FY24'!L47</f>
        <v>0</v>
      </c>
      <c r="D47" s="157">
        <f>'FY25'!L47</f>
        <v>1</v>
      </c>
      <c r="E47" s="157">
        <f>'FY26'!L47</f>
        <v>1</v>
      </c>
      <c r="F47" s="157">
        <f>'FY27'!L47</f>
        <v>1</v>
      </c>
      <c r="G47" s="157">
        <f>'FY28'!L47</f>
        <v>1</v>
      </c>
    </row>
    <row r="48" spans="1:7" x14ac:dyDescent="0.35">
      <c r="A48" s="21" t="s">
        <v>230</v>
      </c>
      <c r="B48" s="157"/>
      <c r="C48" s="157">
        <f>'FY24'!L48</f>
        <v>1</v>
      </c>
      <c r="D48" s="157">
        <f>'FY25'!L48</f>
        <v>1</v>
      </c>
      <c r="E48" s="157">
        <f>'FY26'!L48</f>
        <v>1</v>
      </c>
      <c r="F48" s="157">
        <f>'FY27'!L48</f>
        <v>1</v>
      </c>
      <c r="G48" s="157">
        <f>'FY28'!L48</f>
        <v>1</v>
      </c>
    </row>
    <row r="49" spans="1:7" x14ac:dyDescent="0.35">
      <c r="A49" s="21" t="s">
        <v>34</v>
      </c>
      <c r="B49" s="157"/>
      <c r="C49" s="157">
        <f>'FY24'!L49</f>
        <v>1</v>
      </c>
      <c r="D49" s="157">
        <f>'FY25'!L49</f>
        <v>1</v>
      </c>
      <c r="E49" s="157">
        <f>'FY26'!L49</f>
        <v>1</v>
      </c>
      <c r="F49" s="157">
        <f>'FY27'!L49</f>
        <v>1</v>
      </c>
      <c r="G49" s="157">
        <f>'FY28'!L49</f>
        <v>1</v>
      </c>
    </row>
    <row r="50" spans="1:7" x14ac:dyDescent="0.35">
      <c r="A50" s="21" t="s">
        <v>35</v>
      </c>
      <c r="B50" s="157"/>
      <c r="C50" s="157">
        <f>'FY24'!L50</f>
        <v>1</v>
      </c>
      <c r="D50" s="157">
        <f>'FY25'!L50</f>
        <v>1</v>
      </c>
      <c r="E50" s="157">
        <f>'FY26'!L50</f>
        <v>1</v>
      </c>
      <c r="F50" s="157">
        <f>'FY27'!L50</f>
        <v>1</v>
      </c>
      <c r="G50" s="157">
        <f>'FY28'!L50</f>
        <v>1</v>
      </c>
    </row>
    <row r="51" spans="1:7" x14ac:dyDescent="0.35">
      <c r="A51" s="21" t="s">
        <v>36</v>
      </c>
      <c r="B51" s="157"/>
      <c r="C51" s="157">
        <f>'FY24'!L51</f>
        <v>1</v>
      </c>
      <c r="D51" s="157">
        <f>'FY25'!L51</f>
        <v>1</v>
      </c>
      <c r="E51" s="157">
        <f>'FY26'!L51</f>
        <v>1</v>
      </c>
      <c r="F51" s="157">
        <f>'FY27'!L51</f>
        <v>1</v>
      </c>
      <c r="G51" s="157">
        <f>'FY28'!L51</f>
        <v>1</v>
      </c>
    </row>
    <row r="52" spans="1:7" x14ac:dyDescent="0.35">
      <c r="A52" s="21" t="s">
        <v>206</v>
      </c>
      <c r="B52" s="157"/>
      <c r="C52" s="157">
        <f>'FY24'!L52</f>
        <v>2</v>
      </c>
      <c r="D52" s="157">
        <f>'FY25'!L52</f>
        <v>5</v>
      </c>
      <c r="E52" s="157">
        <f>'FY26'!L52</f>
        <v>7</v>
      </c>
      <c r="F52" s="157">
        <f>'FY27'!L52</f>
        <v>9</v>
      </c>
      <c r="G52" s="157">
        <f>'FY28'!L52</f>
        <v>10</v>
      </c>
    </row>
    <row r="53" spans="1:7" x14ac:dyDescent="0.35">
      <c r="A53" s="21" t="s">
        <v>37</v>
      </c>
      <c r="B53" s="157"/>
      <c r="C53" s="157">
        <f>'FY24'!L53</f>
        <v>1</v>
      </c>
      <c r="D53" s="157">
        <f>'FY25'!L53</f>
        <v>1</v>
      </c>
      <c r="E53" s="157">
        <f>'FY26'!L53</f>
        <v>1</v>
      </c>
      <c r="F53" s="157">
        <f>'FY27'!L53</f>
        <v>1</v>
      </c>
      <c r="G53" s="157">
        <f>'FY28'!L53</f>
        <v>1</v>
      </c>
    </row>
    <row r="54" spans="1:7" x14ac:dyDescent="0.35">
      <c r="A54" s="21" t="s">
        <v>38</v>
      </c>
      <c r="B54" s="157"/>
      <c r="C54" s="157">
        <f>'FY24'!L54</f>
        <v>1</v>
      </c>
      <c r="D54" s="157">
        <f>'FY25'!L54</f>
        <v>1</v>
      </c>
      <c r="E54" s="157">
        <f>'FY26'!L54</f>
        <v>1</v>
      </c>
      <c r="F54" s="157">
        <f>'FY27'!L54</f>
        <v>1</v>
      </c>
      <c r="G54" s="157">
        <f>'FY28'!L54</f>
        <v>1</v>
      </c>
    </row>
    <row r="55" spans="1:7" x14ac:dyDescent="0.35">
      <c r="A55" s="21" t="s">
        <v>223</v>
      </c>
      <c r="B55" s="157"/>
      <c r="C55" s="157">
        <f>'FY24'!L55</f>
        <v>0</v>
      </c>
      <c r="D55" s="157">
        <f>'FY25'!L55</f>
        <v>0</v>
      </c>
      <c r="E55" s="157">
        <f>'FY26'!L55</f>
        <v>0</v>
      </c>
      <c r="F55" s="157">
        <f>'FY27'!L55</f>
        <v>0</v>
      </c>
      <c r="G55" s="157">
        <f>'FY28'!L55</f>
        <v>0</v>
      </c>
    </row>
    <row r="56" spans="1:7" x14ac:dyDescent="0.35">
      <c r="A56" s="34" t="s">
        <v>39</v>
      </c>
      <c r="B56" s="157"/>
      <c r="C56" s="157">
        <f>'FY24'!L56</f>
        <v>0</v>
      </c>
      <c r="D56" s="157">
        <f>'FY25'!L56</f>
        <v>0</v>
      </c>
      <c r="E56" s="157">
        <f>'FY26'!L56</f>
        <v>0</v>
      </c>
      <c r="F56" s="157">
        <f>'FY27'!L56</f>
        <v>0</v>
      </c>
      <c r="G56" s="157">
        <f>'FY28'!L56</f>
        <v>0</v>
      </c>
    </row>
    <row r="57" spans="1:7" x14ac:dyDescent="0.35">
      <c r="A57" s="34" t="s">
        <v>40</v>
      </c>
      <c r="B57" s="157"/>
      <c r="C57" s="157">
        <f>'FY24'!L57</f>
        <v>0</v>
      </c>
      <c r="D57" s="157">
        <f>'FY25'!L57</f>
        <v>0</v>
      </c>
      <c r="E57" s="157">
        <f>'FY26'!L57</f>
        <v>0</v>
      </c>
      <c r="F57" s="157">
        <f>'FY27'!L57</f>
        <v>0</v>
      </c>
      <c r="G57" s="157">
        <f>'FY28'!L57</f>
        <v>0</v>
      </c>
    </row>
    <row r="58" spans="1:7" x14ac:dyDescent="0.35">
      <c r="A58" s="34" t="s">
        <v>41</v>
      </c>
      <c r="B58" s="157"/>
      <c r="C58" s="157">
        <f>'FY24'!L58</f>
        <v>0</v>
      </c>
      <c r="D58" s="157">
        <f>'FY25'!L58</f>
        <v>0</v>
      </c>
      <c r="E58" s="157">
        <f>'FY26'!L58</f>
        <v>0</v>
      </c>
      <c r="F58" s="157">
        <f>'FY27'!L58</f>
        <v>0</v>
      </c>
      <c r="G58" s="157">
        <f>'FY28'!L58</f>
        <v>0</v>
      </c>
    </row>
    <row r="59" spans="1:7" x14ac:dyDescent="0.35">
      <c r="A59" s="34" t="s">
        <v>42</v>
      </c>
      <c r="B59" s="157"/>
      <c r="C59" s="157">
        <f>'FY24'!L59</f>
        <v>0</v>
      </c>
      <c r="D59" s="157">
        <f>'FY25'!L59</f>
        <v>0</v>
      </c>
      <c r="E59" s="157">
        <f>'FY26'!L59</f>
        <v>0</v>
      </c>
      <c r="F59" s="157">
        <f>'FY27'!L59</f>
        <v>0</v>
      </c>
      <c r="G59" s="157">
        <f>'FY28'!L59</f>
        <v>0</v>
      </c>
    </row>
    <row r="60" spans="1:7" x14ac:dyDescent="0.35">
      <c r="A60" s="34" t="s">
        <v>43</v>
      </c>
      <c r="B60" s="157"/>
      <c r="C60" s="157">
        <f>'FY24'!L60</f>
        <v>0</v>
      </c>
      <c r="D60" s="157">
        <f>'FY25'!L60</f>
        <v>0</v>
      </c>
      <c r="E60" s="157">
        <f>'FY26'!L60</f>
        <v>0</v>
      </c>
      <c r="F60" s="157">
        <f>'FY27'!L60</f>
        <v>0</v>
      </c>
      <c r="G60" s="157">
        <f>'FY28'!L60</f>
        <v>0</v>
      </c>
    </row>
    <row r="61" spans="1:7" x14ac:dyDescent="0.35">
      <c r="A61" s="34" t="s">
        <v>44</v>
      </c>
      <c r="B61" s="157"/>
      <c r="C61" s="157">
        <f>'FY24'!L61</f>
        <v>0.5</v>
      </c>
      <c r="D61" s="157">
        <f>'FY25'!L61</f>
        <v>0.5</v>
      </c>
      <c r="E61" s="157">
        <f>'FY26'!L61</f>
        <v>1</v>
      </c>
      <c r="F61" s="157">
        <f>'FY27'!L61</f>
        <v>1</v>
      </c>
      <c r="G61" s="157">
        <f>'FY28'!L61</f>
        <v>1</v>
      </c>
    </row>
    <row r="62" spans="1:7" x14ac:dyDescent="0.35">
      <c r="A62" s="35"/>
      <c r="B62" s="157"/>
      <c r="C62" s="157">
        <f>'FY24'!L62</f>
        <v>0</v>
      </c>
      <c r="D62" s="157">
        <f>'FY25'!L62</f>
        <v>0</v>
      </c>
      <c r="E62" s="157">
        <f>'FY26'!L62</f>
        <v>0</v>
      </c>
      <c r="F62" s="157">
        <f>'FY27'!L62</f>
        <v>0</v>
      </c>
      <c r="G62" s="157">
        <f>'FY28'!L62</f>
        <v>0</v>
      </c>
    </row>
    <row r="63" spans="1:7" x14ac:dyDescent="0.35">
      <c r="A63" s="29" t="s">
        <v>45</v>
      </c>
      <c r="B63" s="30"/>
      <c r="C63" s="30">
        <f>SUM(C42:C61)</f>
        <v>10.5</v>
      </c>
      <c r="D63" s="30">
        <f t="shared" ref="D63:G63" si="1">SUM(D42:D61)</f>
        <v>15.5</v>
      </c>
      <c r="E63" s="30">
        <f t="shared" si="1"/>
        <v>19</v>
      </c>
      <c r="F63" s="30">
        <f t="shared" si="1"/>
        <v>22</v>
      </c>
      <c r="G63" s="30">
        <f t="shared" si="1"/>
        <v>23</v>
      </c>
    </row>
    <row r="64" spans="1:7" ht="15" thickBot="1" x14ac:dyDescent="0.4">
      <c r="A64" s="36"/>
      <c r="B64" s="38"/>
      <c r="C64" s="38"/>
      <c r="D64" s="38"/>
      <c r="E64" s="38"/>
      <c r="F64" s="38"/>
      <c r="G64" s="38"/>
    </row>
    <row r="65" spans="1:7" x14ac:dyDescent="0.35">
      <c r="A65" s="40" t="s">
        <v>46</v>
      </c>
      <c r="B65" s="39"/>
      <c r="C65" s="39">
        <f>C39</f>
        <v>28.5</v>
      </c>
      <c r="D65" s="39">
        <f>D39</f>
        <v>35</v>
      </c>
      <c r="E65" s="39">
        <f>E39</f>
        <v>42</v>
      </c>
      <c r="F65" s="39">
        <f>F39</f>
        <v>47</v>
      </c>
      <c r="G65" s="39">
        <f>G39</f>
        <v>48</v>
      </c>
    </row>
    <row r="66" spans="1:7" ht="15" thickBot="1" x14ac:dyDescent="0.4">
      <c r="A66" s="43" t="s">
        <v>47</v>
      </c>
      <c r="B66" s="42"/>
      <c r="C66" s="42">
        <f t="shared" ref="C66:G66" si="2">C63</f>
        <v>10.5</v>
      </c>
      <c r="D66" s="42">
        <f t="shared" si="2"/>
        <v>15.5</v>
      </c>
      <c r="E66" s="42">
        <f t="shared" si="2"/>
        <v>19</v>
      </c>
      <c r="F66" s="42">
        <f t="shared" si="2"/>
        <v>22</v>
      </c>
      <c r="G66" s="42">
        <f t="shared" si="2"/>
        <v>23</v>
      </c>
    </row>
    <row r="67" spans="1:7" ht="15" thickBot="1" x14ac:dyDescent="0.4">
      <c r="A67" s="45" t="s">
        <v>48</v>
      </c>
      <c r="B67" s="44"/>
      <c r="C67" s="44">
        <f t="shared" ref="C67:G67" si="3">SUM(C65:C66)</f>
        <v>39</v>
      </c>
      <c r="D67" s="44">
        <f t="shared" si="3"/>
        <v>50.5</v>
      </c>
      <c r="E67" s="44">
        <f t="shared" si="3"/>
        <v>61</v>
      </c>
      <c r="F67" s="44">
        <f t="shared" si="3"/>
        <v>69</v>
      </c>
      <c r="G67" s="44">
        <f t="shared" si="3"/>
        <v>71</v>
      </c>
    </row>
    <row r="68" spans="1:7" ht="15" thickBot="1" x14ac:dyDescent="0.4">
      <c r="A68" s="34"/>
      <c r="B68" s="46"/>
      <c r="C68" s="46"/>
      <c r="D68" s="46"/>
      <c r="E68" s="46"/>
      <c r="F68" s="46"/>
      <c r="G68" s="46"/>
    </row>
    <row r="69" spans="1:7" x14ac:dyDescent="0.35">
      <c r="A69" s="48" t="s">
        <v>49</v>
      </c>
      <c r="B69" s="47"/>
      <c r="C69" s="47">
        <f t="shared" ref="C69" si="4">C138/(SUM(C205:C215))</f>
        <v>0.62799007825597164</v>
      </c>
      <c r="D69" s="47">
        <f t="shared" ref="D69:G69" si="5">D138/(SUM(D205:D215))</f>
        <v>0.56361265119540449</v>
      </c>
      <c r="E69" s="47">
        <f t="shared" si="5"/>
        <v>0.55683209558570668</v>
      </c>
      <c r="F69" s="47">
        <f t="shared" si="5"/>
        <v>0.5573218255706186</v>
      </c>
      <c r="G69" s="47">
        <f t="shared" si="5"/>
        <v>0.56520057333674667</v>
      </c>
    </row>
    <row r="70" spans="1:7" x14ac:dyDescent="0.35">
      <c r="A70" s="50" t="s">
        <v>50</v>
      </c>
      <c r="B70" s="49"/>
      <c r="C70" s="49">
        <f t="shared" ref="C70:G70" si="6">(C109+C110+C111+C114)/C130</f>
        <v>0.76308668567539428</v>
      </c>
      <c r="D70" s="49">
        <f t="shared" si="6"/>
        <v>0.77348985079799293</v>
      </c>
      <c r="E70" s="49">
        <f t="shared" si="6"/>
        <v>0.77928721463176343</v>
      </c>
      <c r="F70" s="49">
        <f t="shared" si="6"/>
        <v>0.7788948791762984</v>
      </c>
      <c r="G70" s="49">
        <f t="shared" si="6"/>
        <v>0.78328788702462748</v>
      </c>
    </row>
    <row r="71" spans="1:7" x14ac:dyDescent="0.35">
      <c r="A71" s="52" t="s">
        <v>51</v>
      </c>
      <c r="B71" s="49"/>
      <c r="C71" s="49">
        <f t="shared" ref="C71:G71" si="7">(C104+C105+C107+C108+C112+C113+C115+C116+C119+C120+C121+C122+C123+C106+C124+C125+C126+C127+C128)/C130</f>
        <v>0.23691331432460572</v>
      </c>
      <c r="D71" s="49">
        <f t="shared" si="7"/>
        <v>0.22651014920200718</v>
      </c>
      <c r="E71" s="49">
        <f t="shared" si="7"/>
        <v>0.22071278536823677</v>
      </c>
      <c r="F71" s="49">
        <f t="shared" si="7"/>
        <v>0.22110512082370165</v>
      </c>
      <c r="G71" s="49">
        <f t="shared" si="7"/>
        <v>0.21671211297537243</v>
      </c>
    </row>
    <row r="72" spans="1:7" ht="15" thickBot="1" x14ac:dyDescent="0.4">
      <c r="A72" s="54" t="s">
        <v>52</v>
      </c>
      <c r="B72" s="53"/>
      <c r="C72" s="53">
        <f t="shared" ref="C72" si="8">SUM(C207:C215)/C87</f>
        <v>0.14281253094271504</v>
      </c>
      <c r="D72" s="53">
        <f t="shared" ref="D72:G72" si="9">SUM(D207:D215)/D87</f>
        <v>0.14801897740783554</v>
      </c>
      <c r="E72" s="53">
        <f t="shared" si="9"/>
        <v>0.15971419804412024</v>
      </c>
      <c r="F72" s="53">
        <f t="shared" si="9"/>
        <v>0.16374747815715135</v>
      </c>
      <c r="G72" s="53">
        <f t="shared" si="9"/>
        <v>0.16242720094123078</v>
      </c>
    </row>
    <row r="73" spans="1:7" x14ac:dyDescent="0.35">
      <c r="A73" s="55"/>
      <c r="B73" s="56"/>
      <c r="C73" s="56"/>
      <c r="D73" s="56"/>
      <c r="E73" s="56"/>
      <c r="F73" s="56"/>
      <c r="G73" s="56"/>
    </row>
    <row r="74" spans="1:7" x14ac:dyDescent="0.35">
      <c r="A74" s="58" t="s">
        <v>334</v>
      </c>
      <c r="B74" s="59"/>
      <c r="C74" s="59" t="str">
        <f t="shared" ref="C74:G74" si="10">C1</f>
        <v>FY24</v>
      </c>
      <c r="D74" s="59" t="str">
        <f t="shared" si="10"/>
        <v>FY25</v>
      </c>
      <c r="E74" s="59" t="str">
        <f t="shared" si="10"/>
        <v>FY26</v>
      </c>
      <c r="F74" s="59" t="str">
        <f t="shared" si="10"/>
        <v>FY27</v>
      </c>
      <c r="G74" s="59" t="str">
        <f t="shared" si="10"/>
        <v>FY28</v>
      </c>
    </row>
    <row r="75" spans="1:7" x14ac:dyDescent="0.35">
      <c r="A75" s="61" t="s">
        <v>211</v>
      </c>
      <c r="B75" s="7"/>
      <c r="C75" s="7">
        <f>'FY24'!L75</f>
        <v>3924960</v>
      </c>
      <c r="D75" s="7">
        <f>'FY25'!L75</f>
        <v>5269789</v>
      </c>
      <c r="E75" s="7">
        <f>'FY26'!L75</f>
        <v>6456288</v>
      </c>
      <c r="F75" s="7">
        <f>'FY27'!L75</f>
        <v>7470000</v>
      </c>
      <c r="G75" s="7">
        <f>'FY28'!L75</f>
        <v>7567608</v>
      </c>
    </row>
    <row r="76" spans="1:7" x14ac:dyDescent="0.35">
      <c r="A76" s="63" t="s">
        <v>229</v>
      </c>
      <c r="B76" s="7"/>
      <c r="C76" s="7">
        <f>'FY24'!L76</f>
        <v>0</v>
      </c>
      <c r="D76" s="7">
        <f>'FY25'!L76</f>
        <v>0</v>
      </c>
      <c r="E76" s="7">
        <f>'FY26'!L76</f>
        <v>0</v>
      </c>
      <c r="F76" s="7">
        <f>'FY27'!L76</f>
        <v>0</v>
      </c>
      <c r="G76" s="7">
        <f>'FY28'!L76</f>
        <v>0</v>
      </c>
    </row>
    <row r="77" spans="1:7" x14ac:dyDescent="0.35">
      <c r="A77" s="63" t="s">
        <v>53</v>
      </c>
      <c r="B77" s="7"/>
      <c r="C77" s="7">
        <f>'FY24'!L77</f>
        <v>188496.00000000006</v>
      </c>
      <c r="D77" s="7">
        <f>'FY25'!L77</f>
        <v>246257.55000000002</v>
      </c>
      <c r="E77" s="7">
        <f>'FY26'!L77</f>
        <v>306464.39999999997</v>
      </c>
      <c r="F77" s="7">
        <f>'FY27'!L77</f>
        <v>340183.80000000005</v>
      </c>
      <c r="G77" s="7">
        <f>'FY28'!L77</f>
        <v>350044.2</v>
      </c>
    </row>
    <row r="78" spans="1:7" x14ac:dyDescent="0.35">
      <c r="A78" s="63" t="s">
        <v>54</v>
      </c>
      <c r="B78" s="7"/>
      <c r="C78" s="7">
        <f>'FY24'!L78</f>
        <v>87856</v>
      </c>
      <c r="D78" s="7">
        <f>'FY25'!L78</f>
        <v>87856</v>
      </c>
      <c r="E78" s="7">
        <f>'FY26'!L78</f>
        <v>116441.5</v>
      </c>
      <c r="F78" s="7">
        <f>'FY27'!L78</f>
        <v>140828</v>
      </c>
      <c r="G78" s="7">
        <f>'FY28'!L78</f>
        <v>160208</v>
      </c>
    </row>
    <row r="79" spans="1:7" x14ac:dyDescent="0.35">
      <c r="A79" s="145" t="s">
        <v>212</v>
      </c>
      <c r="B79" s="7"/>
      <c r="C79" s="7">
        <f>'FY24'!L79</f>
        <v>0</v>
      </c>
      <c r="D79" s="7">
        <f>'FY25'!L79</f>
        <v>231200</v>
      </c>
      <c r="E79" s="7">
        <f>'FY26'!L79</f>
        <v>306425</v>
      </c>
      <c r="F79" s="7">
        <f>'FY27'!L79</f>
        <v>378012</v>
      </c>
      <c r="G79" s="7">
        <f>'FY28'!L79</f>
        <v>438464.00000000006</v>
      </c>
    </row>
    <row r="80" spans="1:7" x14ac:dyDescent="0.35">
      <c r="A80" s="63" t="s">
        <v>213</v>
      </c>
      <c r="B80" s="7"/>
      <c r="C80" s="7">
        <f>'FY24'!L80</f>
        <v>0</v>
      </c>
      <c r="D80" s="7">
        <f>'FY25'!L80</f>
        <v>184524.80000000002</v>
      </c>
      <c r="E80" s="7">
        <f>'FY26'!L80</f>
        <v>247735.60000000003</v>
      </c>
      <c r="F80" s="7">
        <f>'FY27'!L80</f>
        <v>303456</v>
      </c>
      <c r="G80" s="7">
        <f>'FY28'!L80</f>
        <v>349779.20000000001</v>
      </c>
    </row>
    <row r="81" spans="1:7" x14ac:dyDescent="0.35">
      <c r="A81" s="63" t="s">
        <v>214</v>
      </c>
      <c r="B81" s="7"/>
      <c r="C81" s="7">
        <f>'FY24'!L81</f>
        <v>0</v>
      </c>
      <c r="D81" s="7">
        <f>'FY25'!L81</f>
        <v>17320</v>
      </c>
      <c r="E81" s="7">
        <f>'FY26'!L81</f>
        <v>21925</v>
      </c>
      <c r="F81" s="7">
        <f>'FY27'!L81</f>
        <v>29337</v>
      </c>
      <c r="G81" s="7">
        <f>'FY28'!L81</f>
        <v>34200</v>
      </c>
    </row>
    <row r="82" spans="1:7" x14ac:dyDescent="0.35">
      <c r="A82" s="63" t="s">
        <v>215</v>
      </c>
      <c r="B82" s="7"/>
      <c r="C82" s="7">
        <f>'FY24'!L82</f>
        <v>0</v>
      </c>
      <c r="D82" s="7">
        <f>'FY25'!L82</f>
        <v>43354.079999999987</v>
      </c>
      <c r="E82" s="7">
        <f>'FY26'!L82</f>
        <v>58141.439999999995</v>
      </c>
      <c r="F82" s="7">
        <f>'FY27'!L82</f>
        <v>71142.119999999981</v>
      </c>
      <c r="G82" s="7">
        <f>'FY28'!L82</f>
        <v>82182.239999999991</v>
      </c>
    </row>
    <row r="83" spans="1:7" x14ac:dyDescent="0.35">
      <c r="A83" s="63" t="s">
        <v>216</v>
      </c>
      <c r="B83" s="7"/>
      <c r="C83" s="7">
        <f>'FY24'!L83</f>
        <v>0</v>
      </c>
      <c r="D83" s="7">
        <f>'FY25'!L83</f>
        <v>0</v>
      </c>
      <c r="E83" s="7">
        <f>'FY26'!L83</f>
        <v>0</v>
      </c>
      <c r="F83" s="7">
        <f>'FY27'!L83</f>
        <v>0</v>
      </c>
      <c r="G83" s="7">
        <f>'FY28'!L83</f>
        <v>0</v>
      </c>
    </row>
    <row r="84" spans="1:7" x14ac:dyDescent="0.35">
      <c r="A84" s="63" t="s">
        <v>220</v>
      </c>
      <c r="B84" s="7"/>
      <c r="C84" s="7">
        <f>'FY24'!L84</f>
        <v>0</v>
      </c>
      <c r="D84" s="7">
        <f>'FY25'!L84</f>
        <v>0</v>
      </c>
      <c r="E84" s="7">
        <f>'FY26'!L84</f>
        <v>0</v>
      </c>
      <c r="F84" s="7">
        <f>'FY27'!L84</f>
        <v>0</v>
      </c>
      <c r="G84" s="7">
        <f>'FY28'!L84</f>
        <v>0</v>
      </c>
    </row>
    <row r="85" spans="1:7" x14ac:dyDescent="0.35">
      <c r="A85" s="63" t="s">
        <v>216</v>
      </c>
      <c r="B85" s="7"/>
      <c r="C85" s="7">
        <f>'FY24'!L85</f>
        <v>0</v>
      </c>
      <c r="D85" s="7">
        <f>'FY25'!L85</f>
        <v>0</v>
      </c>
      <c r="E85" s="7">
        <f>'FY26'!L85</f>
        <v>0</v>
      </c>
      <c r="F85" s="7">
        <f>'FY27'!L85</f>
        <v>0</v>
      </c>
      <c r="G85" s="7">
        <f>'FY28'!L85</f>
        <v>0</v>
      </c>
    </row>
    <row r="86" spans="1:7" ht="15" thickBot="1" x14ac:dyDescent="0.4">
      <c r="A86" s="66" t="s">
        <v>56</v>
      </c>
      <c r="B86" s="7"/>
      <c r="C86" s="7">
        <f>'FY24'!L86</f>
        <v>0</v>
      </c>
      <c r="D86" s="7">
        <f>'FY25'!L86</f>
        <v>0</v>
      </c>
      <c r="E86" s="7">
        <f>'FY26'!L86</f>
        <v>0</v>
      </c>
      <c r="F86" s="7">
        <f>'FY27'!L86</f>
        <v>0</v>
      </c>
      <c r="G86" s="7">
        <f>'FY28'!L86</f>
        <v>0</v>
      </c>
    </row>
    <row r="87" spans="1:7" ht="15" thickBot="1" x14ac:dyDescent="0.4">
      <c r="A87" s="68" t="s">
        <v>57</v>
      </c>
      <c r="B87" s="69"/>
      <c r="C87" s="69">
        <f t="shared" ref="C87:G87" si="11">SUM(C75:C86)</f>
        <v>4201312</v>
      </c>
      <c r="D87" s="69">
        <f t="shared" si="11"/>
        <v>6080301.4299999997</v>
      </c>
      <c r="E87" s="69">
        <f t="shared" si="11"/>
        <v>7513420.9400000004</v>
      </c>
      <c r="F87" s="69">
        <f t="shared" si="11"/>
        <v>8732958.9199999999</v>
      </c>
      <c r="G87" s="69">
        <f t="shared" si="11"/>
        <v>8982485.6400000006</v>
      </c>
    </row>
    <row r="88" spans="1:7" hidden="1" x14ac:dyDescent="0.35">
      <c r="A88" s="61" t="s">
        <v>211</v>
      </c>
      <c r="B88" s="7"/>
      <c r="C88" s="7">
        <f>'FY24'!L88</f>
        <v>3924960</v>
      </c>
      <c r="D88" s="7">
        <f>'FY25'!L88</f>
        <v>5269789</v>
      </c>
      <c r="E88" s="7">
        <f>'FY26'!L88</f>
        <v>6456288</v>
      </c>
      <c r="F88" s="7">
        <f>'FY27'!L88</f>
        <v>7470000</v>
      </c>
      <c r="G88" s="7">
        <f>'FY28'!L88</f>
        <v>7567608</v>
      </c>
    </row>
    <row r="89" spans="1:7" hidden="1" x14ac:dyDescent="0.35">
      <c r="A89" s="63" t="str">
        <f>A76</f>
        <v>Local SPED</v>
      </c>
      <c r="B89" s="7"/>
      <c r="C89" s="7">
        <f>'FY24'!L89</f>
        <v>0</v>
      </c>
      <c r="D89" s="7">
        <f>'FY25'!L89</f>
        <v>0</v>
      </c>
      <c r="E89" s="7">
        <f>'FY26'!L89</f>
        <v>0</v>
      </c>
      <c r="F89" s="7">
        <f>'FY27'!L89</f>
        <v>0</v>
      </c>
      <c r="G89" s="7">
        <f>'FY28'!L89</f>
        <v>0</v>
      </c>
    </row>
    <row r="90" spans="1:7" hidden="1" x14ac:dyDescent="0.35">
      <c r="A90" s="63" t="s">
        <v>53</v>
      </c>
      <c r="B90" s="7"/>
      <c r="C90" s="7">
        <f>'FY24'!L90</f>
        <v>188496.00000000006</v>
      </c>
      <c r="D90" s="7">
        <f>'FY25'!L90</f>
        <v>246257.55000000002</v>
      </c>
      <c r="E90" s="7">
        <f>'FY26'!L90</f>
        <v>306464.39999999997</v>
      </c>
      <c r="F90" s="7">
        <f>'FY27'!L90</f>
        <v>340183.80000000005</v>
      </c>
      <c r="G90" s="7">
        <f>'FY28'!L90</f>
        <v>350044.2</v>
      </c>
    </row>
    <row r="91" spans="1:7" hidden="1" x14ac:dyDescent="0.35">
      <c r="A91" s="63" t="s">
        <v>54</v>
      </c>
      <c r="B91" s="7"/>
      <c r="C91" s="7">
        <f>'FY24'!L91</f>
        <v>87856</v>
      </c>
      <c r="D91" s="7">
        <f>'FY25'!L91</f>
        <v>87856</v>
      </c>
      <c r="E91" s="7">
        <f>'FY26'!L91</f>
        <v>116441.5</v>
      </c>
      <c r="F91" s="7">
        <f>'FY27'!L91</f>
        <v>140828</v>
      </c>
      <c r="G91" s="7">
        <f>'FY28'!L91</f>
        <v>160208</v>
      </c>
    </row>
    <row r="92" spans="1:7" hidden="1" x14ac:dyDescent="0.35">
      <c r="A92" s="145" t="s">
        <v>212</v>
      </c>
      <c r="B92" s="7"/>
      <c r="C92" s="7">
        <f>'FY24'!L92</f>
        <v>0</v>
      </c>
      <c r="D92" s="7">
        <f>'FY25'!L92</f>
        <v>231200</v>
      </c>
      <c r="E92" s="7">
        <f>'FY26'!L92</f>
        <v>306425</v>
      </c>
      <c r="F92" s="7">
        <f>'FY27'!L92</f>
        <v>378012</v>
      </c>
      <c r="G92" s="7">
        <f>'FY28'!L92</f>
        <v>438464.00000000006</v>
      </c>
    </row>
    <row r="93" spans="1:7" hidden="1" x14ac:dyDescent="0.35">
      <c r="A93" s="63" t="s">
        <v>213</v>
      </c>
      <c r="B93" s="7"/>
      <c r="C93" s="7">
        <f>'FY24'!L93</f>
        <v>0</v>
      </c>
      <c r="D93" s="7">
        <f>'FY25'!L93</f>
        <v>184524.80000000002</v>
      </c>
      <c r="E93" s="7">
        <f>'FY26'!L93</f>
        <v>247735.60000000003</v>
      </c>
      <c r="F93" s="7">
        <f>'FY27'!L93</f>
        <v>303456</v>
      </c>
      <c r="G93" s="7">
        <f>'FY28'!L93</f>
        <v>349779.20000000001</v>
      </c>
    </row>
    <row r="94" spans="1:7" hidden="1" x14ac:dyDescent="0.35">
      <c r="A94" s="63" t="s">
        <v>214</v>
      </c>
      <c r="B94" s="7"/>
      <c r="C94" s="7">
        <f>'FY24'!L94</f>
        <v>0</v>
      </c>
      <c r="D94" s="7">
        <f>'FY25'!L94</f>
        <v>17320</v>
      </c>
      <c r="E94" s="7">
        <f>'FY26'!L94</f>
        <v>21925</v>
      </c>
      <c r="F94" s="7">
        <f>'FY27'!L94</f>
        <v>29337</v>
      </c>
      <c r="G94" s="7">
        <f>'FY28'!L94</f>
        <v>34200</v>
      </c>
    </row>
    <row r="95" spans="1:7" hidden="1" x14ac:dyDescent="0.35">
      <c r="A95" s="63" t="s">
        <v>215</v>
      </c>
      <c r="B95" s="7"/>
      <c r="C95" s="7">
        <f>'FY24'!L95</f>
        <v>0</v>
      </c>
      <c r="D95" s="7">
        <f>'FY25'!L95</f>
        <v>43354.079999999987</v>
      </c>
      <c r="E95" s="7">
        <f>'FY26'!L95</f>
        <v>58141.439999999995</v>
      </c>
      <c r="F95" s="7">
        <f>'FY27'!L95</f>
        <v>71142.119999999981</v>
      </c>
      <c r="G95" s="7">
        <f>'FY28'!L95</f>
        <v>82182.239999999991</v>
      </c>
    </row>
    <row r="96" spans="1:7" hidden="1" x14ac:dyDescent="0.35">
      <c r="A96" s="63" t="s">
        <v>227</v>
      </c>
      <c r="B96" s="7"/>
      <c r="C96" s="7">
        <f>'FY24'!L96</f>
        <v>0</v>
      </c>
      <c r="D96" s="7">
        <f>'FY25'!L96</f>
        <v>0</v>
      </c>
      <c r="E96" s="7">
        <f>'FY26'!L96</f>
        <v>0</v>
      </c>
      <c r="F96" s="7">
        <f>'FY27'!L96</f>
        <v>0</v>
      </c>
      <c r="G96" s="7">
        <f>'FY28'!L96</f>
        <v>0</v>
      </c>
    </row>
    <row r="97" spans="1:14" hidden="1" x14ac:dyDescent="0.35">
      <c r="A97" s="63" t="s">
        <v>220</v>
      </c>
      <c r="B97" s="7"/>
      <c r="C97" s="7">
        <f>'FY24'!L97</f>
        <v>0</v>
      </c>
      <c r="D97" s="7">
        <f>'FY25'!L97</f>
        <v>0</v>
      </c>
      <c r="E97" s="7">
        <f>'FY26'!L97</f>
        <v>0</v>
      </c>
      <c r="F97" s="7">
        <f>'FY27'!L97</f>
        <v>0</v>
      </c>
      <c r="G97" s="7">
        <f>'FY28'!L97</f>
        <v>0</v>
      </c>
    </row>
    <row r="98" spans="1:14" hidden="1" x14ac:dyDescent="0.35">
      <c r="A98" s="63" t="s">
        <v>216</v>
      </c>
      <c r="B98" s="7"/>
      <c r="C98" s="7">
        <f>'FY24'!L98</f>
        <v>0</v>
      </c>
      <c r="D98" s="7">
        <f>'FY25'!L98</f>
        <v>0</v>
      </c>
      <c r="E98" s="7">
        <f>'FY26'!L98</f>
        <v>0</v>
      </c>
      <c r="F98" s="7">
        <f>'FY27'!L98</f>
        <v>0</v>
      </c>
      <c r="G98" s="7">
        <f>'FY28'!L98</f>
        <v>0</v>
      </c>
    </row>
    <row r="99" spans="1:14" ht="15" hidden="1" thickBot="1" x14ac:dyDescent="0.4">
      <c r="A99" s="66" t="s">
        <v>56</v>
      </c>
      <c r="B99" s="7"/>
      <c r="C99" s="7">
        <f>'FY24'!L99</f>
        <v>0</v>
      </c>
      <c r="D99" s="7">
        <f>'FY25'!L99</f>
        <v>0</v>
      </c>
      <c r="E99" s="7">
        <f>'FY26'!L99</f>
        <v>0</v>
      </c>
      <c r="F99" s="7">
        <f>'FY27'!L99</f>
        <v>0</v>
      </c>
      <c r="G99" s="7">
        <f>'FY28'!L99</f>
        <v>0</v>
      </c>
    </row>
    <row r="100" spans="1:14" ht="15" hidden="1" thickBot="1" x14ac:dyDescent="0.4">
      <c r="A100" s="68" t="s">
        <v>58</v>
      </c>
      <c r="B100" s="69"/>
      <c r="C100" s="69">
        <f>SUM(C88:C99)</f>
        <v>4201312</v>
      </c>
      <c r="D100" s="69">
        <f t="shared" ref="D100:G100" si="12">SUM(D88:D99)</f>
        <v>6080301.4299999997</v>
      </c>
      <c r="E100" s="69">
        <f t="shared" si="12"/>
        <v>7513420.9400000004</v>
      </c>
      <c r="F100" s="69">
        <f t="shared" si="12"/>
        <v>8732958.9199999999</v>
      </c>
      <c r="G100" s="69">
        <f t="shared" si="12"/>
        <v>8982485.6400000006</v>
      </c>
    </row>
    <row r="101" spans="1:14" x14ac:dyDescent="0.35">
      <c r="A101" s="71"/>
      <c r="B101" s="56"/>
      <c r="C101" s="56"/>
      <c r="D101" s="56"/>
      <c r="E101" s="56"/>
      <c r="F101" s="56"/>
      <c r="G101" s="56"/>
    </row>
    <row r="102" spans="1:14" ht="15" thickBot="1" x14ac:dyDescent="0.4">
      <c r="A102" s="73" t="s">
        <v>59</v>
      </c>
      <c r="B102" s="74"/>
      <c r="C102" s="74" t="str">
        <f t="shared" ref="C102:G102" si="13">C1</f>
        <v>FY24</v>
      </c>
      <c r="D102" s="74" t="str">
        <f t="shared" si="13"/>
        <v>FY25</v>
      </c>
      <c r="E102" s="74" t="str">
        <f t="shared" si="13"/>
        <v>FY26</v>
      </c>
      <c r="F102" s="74" t="str">
        <f t="shared" si="13"/>
        <v>FY27</v>
      </c>
      <c r="G102" s="74" t="str">
        <f t="shared" si="13"/>
        <v>FY28</v>
      </c>
    </row>
    <row r="103" spans="1:14" x14ac:dyDescent="0.35">
      <c r="A103" s="76" t="s">
        <v>60</v>
      </c>
      <c r="B103" s="77"/>
      <c r="C103" s="77"/>
      <c r="D103" s="77"/>
      <c r="E103" s="77"/>
      <c r="F103" s="77"/>
      <c r="G103" s="77"/>
    </row>
    <row r="104" spans="1:14" x14ac:dyDescent="0.35">
      <c r="A104" s="63" t="s">
        <v>30</v>
      </c>
      <c r="B104" s="7"/>
      <c r="C104" s="7">
        <f>'FY24'!L104</f>
        <v>100000</v>
      </c>
      <c r="D104" s="7">
        <f>'FY25'!L104</f>
        <v>102000</v>
      </c>
      <c r="E104" s="7">
        <f>'FY26'!L104</f>
        <v>103325.99999999999</v>
      </c>
      <c r="F104" s="7">
        <f>'FY27'!L104</f>
        <v>104669.23799999997</v>
      </c>
      <c r="G104" s="7">
        <f>'FY28'!L104</f>
        <v>107809.31513999998</v>
      </c>
    </row>
    <row r="105" spans="1:14" x14ac:dyDescent="0.35">
      <c r="A105" s="63" t="s">
        <v>61</v>
      </c>
      <c r="B105" s="7"/>
      <c r="C105" s="7">
        <f>'FY24'!L105</f>
        <v>0</v>
      </c>
      <c r="D105" s="7">
        <f>'FY25'!L105</f>
        <v>80000</v>
      </c>
      <c r="E105" s="7">
        <f>'FY26'!L105</f>
        <v>83735.390399999975</v>
      </c>
      <c r="F105" s="7">
        <f>'FY27'!L105</f>
        <v>164346.40404569995</v>
      </c>
      <c r="G105" s="7">
        <f>'FY28'!L105</f>
        <v>166482.90729829404</v>
      </c>
    </row>
    <row r="106" spans="1:14" x14ac:dyDescent="0.35">
      <c r="A106" s="63" t="s">
        <v>33</v>
      </c>
      <c r="B106" s="7"/>
      <c r="C106" s="7">
        <f>'FY24'!L106</f>
        <v>0</v>
      </c>
      <c r="D106" s="7">
        <f>'FY25'!L106</f>
        <v>0</v>
      </c>
      <c r="E106" s="7">
        <f>'FY26'!L106</f>
        <v>0</v>
      </c>
      <c r="F106" s="7">
        <f>'FY27'!L106</f>
        <v>0</v>
      </c>
      <c r="G106" s="7">
        <f>'FY28'!L106</f>
        <v>0</v>
      </c>
    </row>
    <row r="107" spans="1:14" x14ac:dyDescent="0.35">
      <c r="A107" s="63" t="s">
        <v>252</v>
      </c>
      <c r="B107" s="7"/>
      <c r="C107" s="7">
        <f>'FY24'!L107</f>
        <v>55000</v>
      </c>
      <c r="D107" s="7">
        <f>'FY25'!L107</f>
        <v>56100</v>
      </c>
      <c r="E107" s="7">
        <f>'FY26'!L107</f>
        <v>56829.299999999996</v>
      </c>
      <c r="F107" s="7">
        <f>'FY27'!L107</f>
        <v>57568.080899999986</v>
      </c>
      <c r="G107" s="7">
        <f>'FY28'!L107</f>
        <v>58316.465951699982</v>
      </c>
    </row>
    <row r="108" spans="1:14" x14ac:dyDescent="0.35">
      <c r="A108" s="63" t="s">
        <v>63</v>
      </c>
      <c r="B108" s="7"/>
      <c r="C108" s="7">
        <f>'FY24'!L108</f>
        <v>0</v>
      </c>
      <c r="D108" s="7">
        <f>'FY25'!L108</f>
        <v>0</v>
      </c>
      <c r="E108" s="7">
        <f>'FY26'!L108</f>
        <v>57740.999999999993</v>
      </c>
      <c r="F108" s="7">
        <f>'FY27'!L108</f>
        <v>58491.632999999987</v>
      </c>
      <c r="G108" s="7">
        <f>'FY28'!L108</f>
        <v>59252.024228999981</v>
      </c>
    </row>
    <row r="109" spans="1:14" x14ac:dyDescent="0.35">
      <c r="A109" s="63" t="s">
        <v>64</v>
      </c>
      <c r="B109" s="7"/>
      <c r="C109" s="7">
        <f>'FY24'!L109</f>
        <v>1080450</v>
      </c>
      <c r="D109" s="7">
        <f>'FY25'!L109</f>
        <v>1395000</v>
      </c>
      <c r="E109" s="7">
        <f>'FY26'!L109</f>
        <v>1687200</v>
      </c>
      <c r="F109" s="7">
        <f>'FY27'!L109</f>
        <v>1894815</v>
      </c>
      <c r="G109" s="7">
        <f>'FY28'!L109</f>
        <v>1920850</v>
      </c>
      <c r="I109" s="120">
        <f>C109+C111+C114</f>
        <v>1294290</v>
      </c>
      <c r="J109" s="120">
        <f t="shared" ref="J109:N109" si="14">D109+D111+D114</f>
        <v>1670400</v>
      </c>
      <c r="K109" s="120">
        <f t="shared" si="14"/>
        <v>2048760</v>
      </c>
      <c r="L109" s="120">
        <f t="shared" si="14"/>
        <v>2350305</v>
      </c>
      <c r="M109" s="120">
        <f t="shared" si="14"/>
        <v>2450400</v>
      </c>
      <c r="N109" s="120">
        <f t="shared" si="14"/>
        <v>0</v>
      </c>
    </row>
    <row r="110" spans="1:14" x14ac:dyDescent="0.35">
      <c r="A110" s="63" t="s">
        <v>66</v>
      </c>
      <c r="B110" s="7"/>
      <c r="C110" s="7">
        <f>'FY24'!L110</f>
        <v>0</v>
      </c>
      <c r="D110" s="7">
        <f>'FY25'!L110</f>
        <v>0</v>
      </c>
      <c r="E110" s="7">
        <f>'FY26'!L110</f>
        <v>0</v>
      </c>
      <c r="F110" s="7">
        <f>'FY27'!L110</f>
        <v>0</v>
      </c>
      <c r="G110" s="7">
        <f>'FY28'!L110</f>
        <v>0</v>
      </c>
      <c r="I110" s="120">
        <f>C130-C109-C111-C114</f>
        <v>401834.46959999995</v>
      </c>
      <c r="J110" s="120">
        <f t="shared" ref="J110:N110" si="15">D130-D109-D111-D114</f>
        <v>489162.9189919997</v>
      </c>
      <c r="K110" s="120">
        <f t="shared" si="15"/>
        <v>580257.85315199941</v>
      </c>
      <c r="L110" s="120">
        <f t="shared" si="15"/>
        <v>667181.77881347574</v>
      </c>
      <c r="M110" s="120">
        <f t="shared" si="15"/>
        <v>677951.70898405137</v>
      </c>
      <c r="N110" s="120">
        <f t="shared" si="15"/>
        <v>0</v>
      </c>
    </row>
    <row r="111" spans="1:14" x14ac:dyDescent="0.35">
      <c r="A111" s="63" t="s">
        <v>19</v>
      </c>
      <c r="B111" s="7"/>
      <c r="C111" s="7">
        <f>'FY24'!L111</f>
        <v>176400</v>
      </c>
      <c r="D111" s="7">
        <f>'FY25'!L111</f>
        <v>180000</v>
      </c>
      <c r="E111" s="7">
        <f>'FY26'!L111</f>
        <v>228000</v>
      </c>
      <c r="F111" s="7">
        <f>'FY27'!L111</f>
        <v>277290</v>
      </c>
      <c r="G111" s="7">
        <f>'FY28'!L111</f>
        <v>327950</v>
      </c>
    </row>
    <row r="112" spans="1:14" x14ac:dyDescent="0.35">
      <c r="A112" s="63" t="s">
        <v>67</v>
      </c>
      <c r="B112" s="7"/>
      <c r="C112" s="7">
        <f>'FY24'!L112</f>
        <v>87684.469599999982</v>
      </c>
      <c r="D112" s="7">
        <f>'FY25'!L112</f>
        <v>89438.158991999982</v>
      </c>
      <c r="E112" s="7">
        <f>'FY26'!L112</f>
        <v>89438.158991999982</v>
      </c>
      <c r="F112" s="7">
        <f>'FY27'!L112</f>
        <v>90600.855058895977</v>
      </c>
      <c r="G112" s="7">
        <f>'FY28'!L112</f>
        <v>91778.666174661616</v>
      </c>
      <c r="I112">
        <f>SUM(C131:C132)/C130</f>
        <v>0.48249999999999993</v>
      </c>
      <c r="J112">
        <f t="shared" ref="J112:M112" si="16">SUM(D131:D132)/D130</f>
        <v>0.48499999999999999</v>
      </c>
      <c r="K112">
        <f t="shared" si="16"/>
        <v>0.48750000000000004</v>
      </c>
      <c r="L112">
        <f t="shared" si="16"/>
        <v>0.49000000000000005</v>
      </c>
      <c r="M112">
        <f t="shared" si="16"/>
        <v>0.49250000000000005</v>
      </c>
    </row>
    <row r="113" spans="1:13" x14ac:dyDescent="0.35">
      <c r="A113" s="63" t="s">
        <v>68</v>
      </c>
      <c r="B113" s="7"/>
      <c r="C113" s="7">
        <f>'FY24'!L113</f>
        <v>42560</v>
      </c>
      <c r="D113" s="7">
        <f>'FY25'!L113</f>
        <v>43320</v>
      </c>
      <c r="E113" s="7">
        <f>'FY26'!L113</f>
        <v>43320</v>
      </c>
      <c r="F113" s="7">
        <f>'FY27'!L113</f>
        <v>44080</v>
      </c>
      <c r="G113" s="7">
        <f>'FY28'!L113</f>
        <v>44840</v>
      </c>
    </row>
    <row r="114" spans="1:13" x14ac:dyDescent="0.35">
      <c r="A114" s="63" t="s">
        <v>69</v>
      </c>
      <c r="B114" s="7"/>
      <c r="C114" s="7">
        <f>'FY24'!L114</f>
        <v>37440</v>
      </c>
      <c r="D114" s="7">
        <f>'FY25'!L114</f>
        <v>95400</v>
      </c>
      <c r="E114" s="7">
        <f>'FY26'!L114</f>
        <v>133560</v>
      </c>
      <c r="F114" s="7">
        <f>'FY27'!L114</f>
        <v>178200</v>
      </c>
      <c r="G114" s="7">
        <f>'FY28'!L114</f>
        <v>201600</v>
      </c>
      <c r="I114" s="122">
        <f>I109*I112+I109</f>
        <v>1918784.9249999998</v>
      </c>
      <c r="J114" s="122">
        <f t="shared" ref="J114:M114" si="17">J109*J112+J109</f>
        <v>2480544</v>
      </c>
      <c r="K114" s="122">
        <f t="shared" si="17"/>
        <v>3047530.5</v>
      </c>
      <c r="L114" s="122">
        <f t="shared" si="17"/>
        <v>3501954.45</v>
      </c>
      <c r="M114" s="122">
        <f t="shared" si="17"/>
        <v>3657222</v>
      </c>
    </row>
    <row r="115" spans="1:13" x14ac:dyDescent="0.35">
      <c r="A115" s="63" t="s">
        <v>70</v>
      </c>
      <c r="B115" s="7"/>
      <c r="C115" s="7">
        <f>'FY24'!L115</f>
        <v>48480</v>
      </c>
      <c r="D115" s="7">
        <f>'FY25'!L115</f>
        <v>48960</v>
      </c>
      <c r="E115" s="7">
        <f>'FY26'!L115</f>
        <v>48960</v>
      </c>
      <c r="F115" s="7">
        <f>'FY27'!L115</f>
        <v>49440</v>
      </c>
      <c r="G115" s="7">
        <f>'FY28'!L115</f>
        <v>50400</v>
      </c>
      <c r="I115" s="122">
        <f>I110*I112+I110</f>
        <v>595719.6011819999</v>
      </c>
      <c r="J115" s="122">
        <f t="shared" ref="J115:M115" si="18">J110*J112+J110</f>
        <v>726406.93470311956</v>
      </c>
      <c r="K115" s="122">
        <f t="shared" si="18"/>
        <v>863133.55656359915</v>
      </c>
      <c r="L115" s="122">
        <f t="shared" si="18"/>
        <v>994100.85043207882</v>
      </c>
      <c r="M115" s="122">
        <f t="shared" si="18"/>
        <v>1011842.9256586967</v>
      </c>
    </row>
    <row r="116" spans="1:13" x14ac:dyDescent="0.35">
      <c r="A116" s="63" t="s">
        <v>223</v>
      </c>
      <c r="B116" s="7"/>
      <c r="C116" s="7">
        <f>'FY24'!L116</f>
        <v>0</v>
      </c>
      <c r="D116" s="7">
        <f>'FY25'!L116</f>
        <v>0</v>
      </c>
      <c r="E116" s="7">
        <f>'FY26'!L116</f>
        <v>0</v>
      </c>
      <c r="F116" s="7">
        <f>'FY27'!L116</f>
        <v>0</v>
      </c>
      <c r="G116" s="7">
        <f>'FY28'!L116</f>
        <v>0</v>
      </c>
    </row>
    <row r="117" spans="1:13" ht="15" thickBot="1" x14ac:dyDescent="0.4">
      <c r="A117" s="82" t="s">
        <v>71</v>
      </c>
      <c r="B117" s="83"/>
      <c r="C117" s="83">
        <f t="shared" ref="C117:G117" si="19">SUM(C104:C116)</f>
        <v>1628014.4696</v>
      </c>
      <c r="D117" s="83">
        <f t="shared" si="19"/>
        <v>2090218.1589919999</v>
      </c>
      <c r="E117" s="83">
        <f t="shared" si="19"/>
        <v>2532109.8493919997</v>
      </c>
      <c r="F117" s="83">
        <f t="shared" si="19"/>
        <v>2919501.2110045957</v>
      </c>
      <c r="G117" s="83">
        <f t="shared" si="19"/>
        <v>3029279.3787936559</v>
      </c>
    </row>
    <row r="118" spans="1:13" x14ac:dyDescent="0.35">
      <c r="A118" s="84" t="s">
        <v>72</v>
      </c>
      <c r="B118" s="154"/>
      <c r="C118" s="154" t="str">
        <f t="shared" ref="C118:G118" si="20">C1</f>
        <v>FY24</v>
      </c>
      <c r="D118" s="154" t="str">
        <f t="shared" si="20"/>
        <v>FY25</v>
      </c>
      <c r="E118" s="154" t="str">
        <f t="shared" si="20"/>
        <v>FY26</v>
      </c>
      <c r="F118" s="154" t="str">
        <f t="shared" si="20"/>
        <v>FY27</v>
      </c>
      <c r="G118" s="154" t="str">
        <f t="shared" si="20"/>
        <v>FY28</v>
      </c>
    </row>
    <row r="119" spans="1:13" x14ac:dyDescent="0.35">
      <c r="A119" s="63" t="s">
        <v>73</v>
      </c>
      <c r="B119" s="7"/>
      <c r="C119" s="7">
        <f>'FY24'!L119</f>
        <v>0</v>
      </c>
      <c r="D119" s="7">
        <f>'FY25'!L119</f>
        <v>0</v>
      </c>
      <c r="E119" s="7">
        <f>'FY26'!L119</f>
        <v>0</v>
      </c>
      <c r="F119" s="7">
        <f>'FY27'!L119</f>
        <v>0</v>
      </c>
      <c r="G119" s="7">
        <f>'FY28'!L119</f>
        <v>0</v>
      </c>
    </row>
    <row r="120" spans="1:13" x14ac:dyDescent="0.35">
      <c r="A120" s="63" t="s">
        <v>39</v>
      </c>
      <c r="B120" s="7"/>
      <c r="C120" s="7">
        <f>'FY24'!L120</f>
        <v>0</v>
      </c>
      <c r="D120" s="7">
        <f>'FY25'!L120</f>
        <v>0</v>
      </c>
      <c r="E120" s="7">
        <f>'FY26'!L120</f>
        <v>0</v>
      </c>
      <c r="F120" s="7">
        <f>'FY27'!L120</f>
        <v>0</v>
      </c>
      <c r="G120" s="7">
        <f>'FY28'!L120</f>
        <v>0</v>
      </c>
    </row>
    <row r="121" spans="1:13" x14ac:dyDescent="0.35">
      <c r="A121" s="63" t="s">
        <v>40</v>
      </c>
      <c r="B121" s="7"/>
      <c r="C121" s="7">
        <f>'FY24'!L121</f>
        <v>0</v>
      </c>
      <c r="D121" s="7">
        <f>'FY25'!L121</f>
        <v>0</v>
      </c>
      <c r="E121" s="7">
        <f>'FY26'!L121</f>
        <v>0</v>
      </c>
      <c r="F121" s="7">
        <f>'FY27'!L121</f>
        <v>0</v>
      </c>
      <c r="G121" s="7">
        <f>'FY28'!L121</f>
        <v>0</v>
      </c>
    </row>
    <row r="122" spans="1:13" x14ac:dyDescent="0.35">
      <c r="A122" s="63" t="s">
        <v>41</v>
      </c>
      <c r="B122" s="7"/>
      <c r="C122" s="7">
        <f>'FY24'!L122</f>
        <v>0</v>
      </c>
      <c r="D122" s="7">
        <f>'FY25'!L122</f>
        <v>0</v>
      </c>
      <c r="E122" s="7">
        <f>'FY26'!L122</f>
        <v>0</v>
      </c>
      <c r="F122" s="7">
        <f>'FY27'!L122</f>
        <v>0</v>
      </c>
      <c r="G122" s="7">
        <f>'FY28'!L122</f>
        <v>0</v>
      </c>
    </row>
    <row r="123" spans="1:13" x14ac:dyDescent="0.35">
      <c r="A123" s="63" t="s">
        <v>74</v>
      </c>
      <c r="B123" s="7"/>
      <c r="C123" s="7">
        <f>'FY24'!L123</f>
        <v>0</v>
      </c>
      <c r="D123" s="7">
        <f>'FY25'!L123</f>
        <v>0</v>
      </c>
      <c r="E123" s="7">
        <f>'FY26'!L123</f>
        <v>0</v>
      </c>
      <c r="F123" s="7">
        <f>'FY27'!L123</f>
        <v>0</v>
      </c>
      <c r="G123" s="7">
        <f>'FY28'!L123</f>
        <v>0</v>
      </c>
    </row>
    <row r="124" spans="1:13" x14ac:dyDescent="0.35">
      <c r="A124" s="63" t="s">
        <v>43</v>
      </c>
      <c r="B124" s="7"/>
      <c r="C124" s="7">
        <f>'FY24'!L124</f>
        <v>0</v>
      </c>
      <c r="D124" s="7">
        <f>'FY25'!L124</f>
        <v>0</v>
      </c>
      <c r="E124" s="7">
        <f>'FY26'!L124</f>
        <v>0</v>
      </c>
      <c r="F124" s="7">
        <f>'FY27'!L124</f>
        <v>0</v>
      </c>
      <c r="G124" s="7">
        <f>'FY28'!L124</f>
        <v>0</v>
      </c>
    </row>
    <row r="125" spans="1:13" x14ac:dyDescent="0.35">
      <c r="A125" s="63" t="s">
        <v>75</v>
      </c>
      <c r="B125" s="7"/>
      <c r="C125" s="7">
        <f>'FY24'!L125</f>
        <v>26000</v>
      </c>
      <c r="D125" s="7">
        <f>'FY25'!L125</f>
        <v>26864.76</v>
      </c>
      <c r="E125" s="7">
        <f>'FY26'!L125</f>
        <v>54428.003759999992</v>
      </c>
      <c r="F125" s="7">
        <f>'FY27'!L125</f>
        <v>55135.567808879983</v>
      </c>
      <c r="G125" s="7">
        <f>'FY28'!L125</f>
        <v>55852.33019039542</v>
      </c>
    </row>
    <row r="126" spans="1:13" x14ac:dyDescent="0.35">
      <c r="A126" s="63" t="s">
        <v>76</v>
      </c>
      <c r="B126" s="7"/>
      <c r="C126" s="7">
        <f>'FY24'!L126</f>
        <v>0</v>
      </c>
      <c r="D126" s="7">
        <f>'FY25'!L126</f>
        <v>0</v>
      </c>
      <c r="E126" s="7">
        <f>'FY26'!L126</f>
        <v>0</v>
      </c>
      <c r="F126" s="7">
        <f>'FY27'!L126</f>
        <v>0</v>
      </c>
      <c r="G126" s="7">
        <f>'FY28'!L126</f>
        <v>0</v>
      </c>
    </row>
    <row r="127" spans="1:13" x14ac:dyDescent="0.35">
      <c r="A127" s="63" t="s">
        <v>77</v>
      </c>
      <c r="B127" s="7"/>
      <c r="C127" s="7">
        <f>'FY24'!L127</f>
        <v>19610</v>
      </c>
      <c r="D127" s="7">
        <f>'FY25'!L127</f>
        <v>19980</v>
      </c>
      <c r="E127" s="7">
        <f>'FY26'!L127</f>
        <v>19980</v>
      </c>
      <c r="F127" s="7">
        <f>'FY27'!L127</f>
        <v>20350</v>
      </c>
      <c r="G127" s="7">
        <f>'FY28'!L127</f>
        <v>20720</v>
      </c>
    </row>
    <row r="128" spans="1:13" x14ac:dyDescent="0.35">
      <c r="A128" s="63" t="s">
        <v>78</v>
      </c>
      <c r="B128" s="7"/>
      <c r="C128" s="7">
        <f>'FY24'!L128</f>
        <v>22500</v>
      </c>
      <c r="D128" s="7">
        <f>'FY25'!L128</f>
        <v>22500</v>
      </c>
      <c r="E128" s="7">
        <f>'FY26'!L128</f>
        <v>22500</v>
      </c>
      <c r="F128" s="7">
        <f>'FY27'!L128</f>
        <v>22500</v>
      </c>
      <c r="G128" s="7">
        <f>'FY28'!L128</f>
        <v>22500</v>
      </c>
    </row>
    <row r="129" spans="1:7" ht="15" thickBot="1" x14ac:dyDescent="0.4">
      <c r="A129" s="82" t="s">
        <v>79</v>
      </c>
      <c r="B129" s="87"/>
      <c r="C129" s="87">
        <f t="shared" ref="C129:G129" si="21">SUM(C119:C128)</f>
        <v>68110</v>
      </c>
      <c r="D129" s="87">
        <f t="shared" si="21"/>
        <v>69344.759999999995</v>
      </c>
      <c r="E129" s="87">
        <f t="shared" si="21"/>
        <v>96908.003759999992</v>
      </c>
      <c r="F129" s="87">
        <f t="shared" si="21"/>
        <v>97985.567808879976</v>
      </c>
      <c r="G129" s="87">
        <f t="shared" si="21"/>
        <v>99072.330190395413</v>
      </c>
    </row>
    <row r="130" spans="1:7" ht="15" thickBot="1" x14ac:dyDescent="0.4">
      <c r="A130" s="89" t="s">
        <v>80</v>
      </c>
      <c r="B130" s="90"/>
      <c r="C130" s="90">
        <f t="shared" ref="C130:G130" si="22">C117+C129</f>
        <v>1696124.4696</v>
      </c>
      <c r="D130" s="90">
        <f t="shared" si="22"/>
        <v>2159562.9189919997</v>
      </c>
      <c r="E130" s="90">
        <f t="shared" si="22"/>
        <v>2629017.8531519994</v>
      </c>
      <c r="F130" s="90">
        <f t="shared" si="22"/>
        <v>3017486.7788134757</v>
      </c>
      <c r="G130" s="90">
        <f t="shared" si="22"/>
        <v>3128351.7089840514</v>
      </c>
    </row>
    <row r="131" spans="1:7" x14ac:dyDescent="0.35">
      <c r="A131" s="63" t="s">
        <v>217</v>
      </c>
      <c r="B131" s="7"/>
      <c r="C131" s="7">
        <f>'FY24'!L131</f>
        <v>504597.02970599994</v>
      </c>
      <c r="D131" s="7">
        <f>'FY25'!L131</f>
        <v>642469.96840011992</v>
      </c>
      <c r="E131" s="7">
        <f>'FY26'!L131</f>
        <v>782132.81131271983</v>
      </c>
      <c r="F131" s="7">
        <f>'FY27'!L131</f>
        <v>897702.31669700902</v>
      </c>
      <c r="G131" s="7">
        <f>'FY28'!L131</f>
        <v>930684.63342275529</v>
      </c>
    </row>
    <row r="132" spans="1:7" x14ac:dyDescent="0.35">
      <c r="A132" s="63" t="s">
        <v>81</v>
      </c>
      <c r="B132" s="7"/>
      <c r="C132" s="7">
        <f>'FY24'!L132</f>
        <v>313783.02687599999</v>
      </c>
      <c r="D132" s="7">
        <f>'FY25'!L132</f>
        <v>404918.047311</v>
      </c>
      <c r="E132" s="7">
        <f>'FY26'!L132</f>
        <v>499513.39209887997</v>
      </c>
      <c r="F132" s="7">
        <f>'FY27'!L132</f>
        <v>580866.20492159412</v>
      </c>
      <c r="G132" s="7">
        <f>'FY28'!L132</f>
        <v>610028.58325189014</v>
      </c>
    </row>
    <row r="133" spans="1:7" x14ac:dyDescent="0.35">
      <c r="A133" s="63" t="s">
        <v>82</v>
      </c>
      <c r="B133" s="7"/>
      <c r="C133" s="7">
        <f>'FY24'!L133</f>
        <v>10157.5</v>
      </c>
      <c r="D133" s="7">
        <f>'FY25'!L133</f>
        <v>45820</v>
      </c>
      <c r="E133" s="7">
        <f>'FY26'!L133</f>
        <v>56530</v>
      </c>
      <c r="F133" s="7">
        <f>'FY27'!L133</f>
        <v>63920</v>
      </c>
      <c r="G133" s="7">
        <f>'FY28'!L133</f>
        <v>65340</v>
      </c>
    </row>
    <row r="134" spans="1:7" x14ac:dyDescent="0.35">
      <c r="A134" s="63" t="s">
        <v>83</v>
      </c>
      <c r="B134" s="7"/>
      <c r="C134" s="7">
        <f>'FY24'!L134</f>
        <v>0</v>
      </c>
      <c r="D134" s="7">
        <f>'FY25'!L134</f>
        <v>0</v>
      </c>
      <c r="E134" s="7">
        <f>'FY26'!L134</f>
        <v>0</v>
      </c>
      <c r="F134" s="7">
        <f>'FY27'!L134</f>
        <v>0</v>
      </c>
      <c r="G134" s="7">
        <f>'FY28'!L134</f>
        <v>0</v>
      </c>
    </row>
    <row r="135" spans="1:7" x14ac:dyDescent="0.35">
      <c r="A135" s="63" t="s">
        <v>84</v>
      </c>
      <c r="B135" s="7"/>
      <c r="C135" s="7">
        <f>'FY24'!L135</f>
        <v>5400</v>
      </c>
      <c r="D135" s="7">
        <f>'FY25'!L135</f>
        <v>5400</v>
      </c>
      <c r="E135" s="7">
        <f>'FY26'!L135</f>
        <v>5400</v>
      </c>
      <c r="F135" s="7">
        <f>'FY27'!L135</f>
        <v>5400</v>
      </c>
      <c r="G135" s="7">
        <f>'FY28'!L135</f>
        <v>5400</v>
      </c>
    </row>
    <row r="136" spans="1:7" x14ac:dyDescent="0.35">
      <c r="A136" s="63" t="s">
        <v>218</v>
      </c>
      <c r="B136" s="7"/>
      <c r="C136" s="7">
        <f>'FY24'!L136</f>
        <v>24525</v>
      </c>
      <c r="D136" s="7">
        <f>'FY25'!L136</f>
        <v>35250</v>
      </c>
      <c r="E136" s="7">
        <f>'FY26'!L136</f>
        <v>46800</v>
      </c>
      <c r="F136" s="7">
        <f>'FY27'!L136</f>
        <v>55050</v>
      </c>
      <c r="G136" s="7">
        <f>'FY28'!L136</f>
        <v>56700</v>
      </c>
    </row>
    <row r="137" spans="1:7" ht="15" thickBot="1" x14ac:dyDescent="0.4">
      <c r="A137" s="91" t="s">
        <v>85</v>
      </c>
      <c r="B137" s="87"/>
      <c r="C137" s="87">
        <f t="shared" ref="C137:G137" si="23">SUM(C131:C136)</f>
        <v>858462.55658199987</v>
      </c>
      <c r="D137" s="87">
        <f t="shared" si="23"/>
        <v>1133858.0157111199</v>
      </c>
      <c r="E137" s="87">
        <f t="shared" si="23"/>
        <v>1390376.2034115999</v>
      </c>
      <c r="F137" s="87">
        <f t="shared" si="23"/>
        <v>1602938.5216186033</v>
      </c>
      <c r="G137" s="87">
        <f t="shared" si="23"/>
        <v>1668153.2166746454</v>
      </c>
    </row>
    <row r="138" spans="1:7" ht="15" thickBot="1" x14ac:dyDescent="0.4">
      <c r="A138" s="95" t="s">
        <v>86</v>
      </c>
      <c r="B138" s="90"/>
      <c r="C138" s="90">
        <f t="shared" ref="C138:G138" si="24">C130+C137</f>
        <v>2554587.0261819996</v>
      </c>
      <c r="D138" s="90">
        <f t="shared" si="24"/>
        <v>3293420.9347031196</v>
      </c>
      <c r="E138" s="90">
        <f t="shared" si="24"/>
        <v>4019394.056563599</v>
      </c>
      <c r="F138" s="90">
        <f t="shared" si="24"/>
        <v>4620425.3004320785</v>
      </c>
      <c r="G138" s="90">
        <f t="shared" si="24"/>
        <v>4796504.9256586973</v>
      </c>
    </row>
    <row r="139" spans="1:7" x14ac:dyDescent="0.35">
      <c r="A139" s="97" t="s">
        <v>87</v>
      </c>
      <c r="B139" s="153"/>
      <c r="C139" s="153" t="str">
        <f t="shared" ref="C139:G139" si="25">C1</f>
        <v>FY24</v>
      </c>
      <c r="D139" s="153" t="str">
        <f t="shared" si="25"/>
        <v>FY25</v>
      </c>
      <c r="E139" s="153" t="str">
        <f t="shared" si="25"/>
        <v>FY26</v>
      </c>
      <c r="F139" s="153" t="str">
        <f t="shared" si="25"/>
        <v>FY27</v>
      </c>
      <c r="G139" s="153" t="str">
        <f t="shared" si="25"/>
        <v>FY28</v>
      </c>
    </row>
    <row r="140" spans="1:7" x14ac:dyDescent="0.35">
      <c r="A140" s="98" t="s">
        <v>88</v>
      </c>
      <c r="B140" s="7"/>
      <c r="C140" s="7">
        <f>'FY24'!L140</f>
        <v>40800</v>
      </c>
      <c r="D140" s="7">
        <f>'FY25'!L140</f>
        <v>100940</v>
      </c>
      <c r="E140" s="7">
        <f>'FY26'!L140</f>
        <v>130800</v>
      </c>
      <c r="F140" s="7">
        <f>'FY27'!L140</f>
        <v>149400</v>
      </c>
      <c r="G140" s="7">
        <f>'FY28'!L140</f>
        <v>159360</v>
      </c>
    </row>
    <row r="141" spans="1:7" x14ac:dyDescent="0.35">
      <c r="A141" s="99" t="s">
        <v>394</v>
      </c>
      <c r="B141" s="7"/>
      <c r="C141" s="7">
        <f>'FY24'!L141</f>
        <v>0</v>
      </c>
      <c r="D141" s="7">
        <f>'FY25'!L141</f>
        <v>0</v>
      </c>
      <c r="E141" s="7">
        <f>'FY26'!L141</f>
        <v>0</v>
      </c>
      <c r="F141" s="7">
        <f>'FY27'!L141</f>
        <v>0</v>
      </c>
      <c r="G141" s="7">
        <f>'FY28'!L141</f>
        <v>0</v>
      </c>
    </row>
    <row r="142" spans="1:7" x14ac:dyDescent="0.35">
      <c r="A142" s="63" t="s">
        <v>89</v>
      </c>
      <c r="B142" s="7"/>
      <c r="C142" s="7">
        <f>'FY24'!L142</f>
        <v>76500</v>
      </c>
      <c r="D142" s="7">
        <f>'FY25'!L142</f>
        <v>177000</v>
      </c>
      <c r="E142" s="7">
        <f>'FY26'!L142</f>
        <v>225000</v>
      </c>
      <c r="F142" s="7">
        <f>'FY27'!L142</f>
        <v>250000</v>
      </c>
      <c r="G142" s="7">
        <f>'FY28'!L142</f>
        <v>200000</v>
      </c>
    </row>
    <row r="143" spans="1:7" x14ac:dyDescent="0.35">
      <c r="A143" s="63" t="s">
        <v>90</v>
      </c>
      <c r="B143" s="7"/>
      <c r="C143" s="7">
        <f>'FY24'!L143</f>
        <v>0</v>
      </c>
      <c r="D143" s="7">
        <f>'FY25'!L143</f>
        <v>0</v>
      </c>
      <c r="E143" s="7">
        <f>'FY26'!L143</f>
        <v>0</v>
      </c>
      <c r="F143" s="7">
        <f>'FY27'!L143</f>
        <v>0</v>
      </c>
      <c r="G143" s="7">
        <f>'FY28'!L143</f>
        <v>0</v>
      </c>
    </row>
    <row r="144" spans="1:7" x14ac:dyDescent="0.35">
      <c r="A144" s="63" t="s">
        <v>91</v>
      </c>
      <c r="B144" s="7"/>
      <c r="C144" s="7">
        <f>'FY24'!L144</f>
        <v>7616</v>
      </c>
      <c r="D144" s="7">
        <f>'FY25'!L144</f>
        <v>10094</v>
      </c>
      <c r="E144" s="7">
        <f>'FY26'!L144</f>
        <v>12208</v>
      </c>
      <c r="F144" s="7">
        <f>'FY27'!L144</f>
        <v>13944</v>
      </c>
      <c r="G144" s="7">
        <f>'FY28'!L144</f>
        <v>13944</v>
      </c>
    </row>
    <row r="145" spans="1:7" x14ac:dyDescent="0.35">
      <c r="A145" s="63" t="s">
        <v>92</v>
      </c>
      <c r="B145" s="7"/>
      <c r="C145" s="7">
        <f>'FY24'!L145</f>
        <v>15776</v>
      </c>
      <c r="D145" s="7">
        <f>'FY25'!L145</f>
        <v>20909</v>
      </c>
      <c r="E145" s="7">
        <f>'FY26'!L145</f>
        <v>25288</v>
      </c>
      <c r="F145" s="7">
        <f>'FY27'!L145</f>
        <v>28884</v>
      </c>
      <c r="G145" s="7">
        <f>'FY28'!L145</f>
        <v>28884</v>
      </c>
    </row>
    <row r="146" spans="1:7" x14ac:dyDescent="0.35">
      <c r="A146" s="63" t="s">
        <v>93</v>
      </c>
      <c r="B146" s="7"/>
      <c r="C146" s="7">
        <f>'FY24'!L146</f>
        <v>2312</v>
      </c>
      <c r="D146" s="7">
        <f>'FY25'!L146</f>
        <v>3064.25</v>
      </c>
      <c r="E146" s="7">
        <f>'FY26'!L146</f>
        <v>3706</v>
      </c>
      <c r="F146" s="7">
        <f>'FY27'!L146</f>
        <v>4233</v>
      </c>
      <c r="G146" s="7">
        <f>'FY28'!L146</f>
        <v>4233</v>
      </c>
    </row>
    <row r="147" spans="1:7" x14ac:dyDescent="0.35">
      <c r="A147" s="63" t="s">
        <v>94</v>
      </c>
      <c r="B147" s="7"/>
      <c r="C147" s="7">
        <f>'FY24'!L147</f>
        <v>1768</v>
      </c>
      <c r="D147" s="7">
        <f>'FY25'!L147</f>
        <v>2343.25</v>
      </c>
      <c r="E147" s="7">
        <f>'FY26'!L147</f>
        <v>2834</v>
      </c>
      <c r="F147" s="7">
        <f>'FY27'!L147</f>
        <v>3237</v>
      </c>
      <c r="G147" s="7">
        <f>'FY28'!L147</f>
        <v>3237</v>
      </c>
    </row>
    <row r="148" spans="1:7" x14ac:dyDescent="0.35">
      <c r="A148" s="63" t="s">
        <v>95</v>
      </c>
      <c r="B148" s="7"/>
      <c r="C148" s="7">
        <f>'FY24'!L148</f>
        <v>11929.92</v>
      </c>
      <c r="D148" s="7">
        <f>'FY25'!L148</f>
        <v>11929.92</v>
      </c>
      <c r="E148" s="7">
        <f>'FY26'!L148</f>
        <v>15811.53</v>
      </c>
      <c r="F148" s="7">
        <f>'FY27'!L148</f>
        <v>19122.960000000003</v>
      </c>
      <c r="G148" s="7">
        <f>'FY28'!L148</f>
        <v>21754.560000000001</v>
      </c>
    </row>
    <row r="149" spans="1:7" ht="15" thickBot="1" x14ac:dyDescent="0.4">
      <c r="A149" s="63" t="s">
        <v>96</v>
      </c>
      <c r="B149" s="7"/>
      <c r="C149" s="7">
        <f>'FY24'!L149</f>
        <v>0</v>
      </c>
      <c r="D149" s="7">
        <f>'FY25'!L149</f>
        <v>0</v>
      </c>
      <c r="E149" s="7">
        <f>'FY26'!L149</f>
        <v>0</v>
      </c>
      <c r="F149" s="7">
        <f>'FY27'!L149</f>
        <v>0</v>
      </c>
      <c r="G149" s="7">
        <f>'FY28'!L149</f>
        <v>0</v>
      </c>
    </row>
    <row r="150" spans="1:7" ht="15" thickBot="1" x14ac:dyDescent="0.4">
      <c r="A150" s="95" t="s">
        <v>97</v>
      </c>
      <c r="B150" s="92"/>
      <c r="C150" s="92">
        <f t="shared" ref="C150:G150" si="26">SUM(C140:C149)</f>
        <v>156701.92000000001</v>
      </c>
      <c r="D150" s="92">
        <f t="shared" si="26"/>
        <v>326280.42</v>
      </c>
      <c r="E150" s="92">
        <f t="shared" si="26"/>
        <v>415647.53</v>
      </c>
      <c r="F150" s="92">
        <f t="shared" si="26"/>
        <v>468820.96</v>
      </c>
      <c r="G150" s="92">
        <f t="shared" si="26"/>
        <v>431412.56</v>
      </c>
    </row>
    <row r="151" spans="1:7" x14ac:dyDescent="0.35">
      <c r="A151" s="101" t="s">
        <v>98</v>
      </c>
      <c r="B151" s="153"/>
      <c r="C151" s="153" t="str">
        <f t="shared" ref="C151:G151" si="27">C1</f>
        <v>FY24</v>
      </c>
      <c r="D151" s="153" t="str">
        <f t="shared" si="27"/>
        <v>FY25</v>
      </c>
      <c r="E151" s="153" t="str">
        <f t="shared" si="27"/>
        <v>FY26</v>
      </c>
      <c r="F151" s="153" t="str">
        <f t="shared" si="27"/>
        <v>FY27</v>
      </c>
      <c r="G151" s="153" t="str">
        <f t="shared" si="27"/>
        <v>FY28</v>
      </c>
    </row>
    <row r="152" spans="1:7" x14ac:dyDescent="0.35">
      <c r="A152" s="63" t="s">
        <v>99</v>
      </c>
      <c r="B152" s="7"/>
      <c r="C152" s="7">
        <f>'FY24'!L152</f>
        <v>6250</v>
      </c>
      <c r="D152" s="7">
        <f>'FY25'!L152</f>
        <v>12875</v>
      </c>
      <c r="E152" s="7">
        <f>'FY26'!L152</f>
        <v>12875</v>
      </c>
      <c r="F152" s="7">
        <f>'FY27'!L152</f>
        <v>13261.25</v>
      </c>
      <c r="G152" s="7">
        <f>'FY28'!L152</f>
        <v>13659.0875</v>
      </c>
    </row>
    <row r="153" spans="1:7" x14ac:dyDescent="0.35">
      <c r="A153" s="63" t="s">
        <v>100</v>
      </c>
      <c r="B153" s="7"/>
      <c r="C153" s="7">
        <f>'FY24'!L153</f>
        <v>108800</v>
      </c>
      <c r="D153" s="7">
        <f>'FY25'!L153</f>
        <v>169435</v>
      </c>
      <c r="E153" s="7">
        <f>'FY26'!L153</f>
        <v>213640</v>
      </c>
      <c r="F153" s="7">
        <f>'FY27'!L153</f>
        <v>253980</v>
      </c>
      <c r="G153" s="7">
        <f>'FY28'!L153</f>
        <v>258960</v>
      </c>
    </row>
    <row r="154" spans="1:7" x14ac:dyDescent="0.35">
      <c r="A154" s="63" t="s">
        <v>101</v>
      </c>
      <c r="B154" s="7"/>
      <c r="C154" s="7">
        <f>'FY24'!L154</f>
        <v>0</v>
      </c>
      <c r="D154" s="7">
        <f>'FY25'!L154</f>
        <v>0</v>
      </c>
      <c r="E154" s="7">
        <f>'FY26'!L154</f>
        <v>0</v>
      </c>
      <c r="F154" s="7">
        <f>'FY27'!L154</f>
        <v>0</v>
      </c>
      <c r="G154" s="7">
        <f>'FY28'!L154</f>
        <v>0</v>
      </c>
    </row>
    <row r="155" spans="1:7" x14ac:dyDescent="0.35">
      <c r="A155" s="63" t="s">
        <v>205</v>
      </c>
      <c r="B155" s="7"/>
      <c r="C155" s="7">
        <f>'FY24'!L155</f>
        <v>0</v>
      </c>
      <c r="D155" s="7">
        <f>'FY25'!L155</f>
        <v>324450</v>
      </c>
      <c r="E155" s="7">
        <f>'FY26'!L155</f>
        <v>392400</v>
      </c>
      <c r="F155" s="7">
        <f>'FY27'!L155</f>
        <v>448200</v>
      </c>
      <c r="G155" s="7">
        <f>'FY28'!L155</f>
        <v>448200</v>
      </c>
    </row>
    <row r="156" spans="1:7" x14ac:dyDescent="0.35">
      <c r="A156" s="63" t="s">
        <v>103</v>
      </c>
      <c r="B156" s="7"/>
      <c r="C156" s="7">
        <f>'FY24'!L156</f>
        <v>8820</v>
      </c>
      <c r="D156" s="7">
        <f>'FY25'!L156</f>
        <v>10860</v>
      </c>
      <c r="E156" s="7">
        <f>'FY26'!L156</f>
        <v>12300</v>
      </c>
      <c r="F156" s="7">
        <f>'FY27'!L156</f>
        <v>13500</v>
      </c>
      <c r="G156" s="7">
        <f>'FY28'!L156</f>
        <v>13500</v>
      </c>
    </row>
    <row r="157" spans="1:7" x14ac:dyDescent="0.35">
      <c r="A157" s="63" t="s">
        <v>104</v>
      </c>
      <c r="B157" s="7"/>
      <c r="C157" s="7">
        <f>'FY24'!L157</f>
        <v>0</v>
      </c>
      <c r="D157" s="7">
        <f>'FY25'!L157</f>
        <v>15117.825000000001</v>
      </c>
      <c r="E157" s="7">
        <f>'FY26'!L157</f>
        <v>15117.825000000001</v>
      </c>
      <c r="F157" s="7">
        <f>'FY27'!L157</f>
        <v>15571.359750000001</v>
      </c>
      <c r="G157" s="7">
        <f>'FY28'!L157</f>
        <v>16038.500542500002</v>
      </c>
    </row>
    <row r="158" spans="1:7" x14ac:dyDescent="0.35">
      <c r="A158" s="63" t="s">
        <v>105</v>
      </c>
      <c r="B158" s="7"/>
      <c r="C158" s="7">
        <f>'FY24'!L158</f>
        <v>5500</v>
      </c>
      <c r="D158" s="7">
        <f>'FY25'!L158</f>
        <v>5500</v>
      </c>
      <c r="E158" s="7">
        <f>'FY26'!L158</f>
        <v>5500</v>
      </c>
      <c r="F158" s="7">
        <f>'FY27'!L158</f>
        <v>5500</v>
      </c>
      <c r="G158" s="7">
        <f>'FY28'!L158</f>
        <v>5600</v>
      </c>
    </row>
    <row r="159" spans="1:7" x14ac:dyDescent="0.35">
      <c r="A159" s="63" t="s">
        <v>106</v>
      </c>
      <c r="B159" s="7"/>
      <c r="C159" s="7">
        <f>'FY24'!L159</f>
        <v>24480</v>
      </c>
      <c r="D159" s="7">
        <f>'FY25'!L159</f>
        <v>32445</v>
      </c>
      <c r="E159" s="7">
        <f>'FY26'!L159</f>
        <v>39240</v>
      </c>
      <c r="F159" s="7">
        <f>'FY27'!L159</f>
        <v>44820</v>
      </c>
      <c r="G159" s="7">
        <f>'FY28'!L159</f>
        <v>44820</v>
      </c>
    </row>
    <row r="160" spans="1:7" x14ac:dyDescent="0.35">
      <c r="A160" s="63" t="s">
        <v>107</v>
      </c>
      <c r="B160" s="7"/>
      <c r="C160" s="7">
        <f>'FY24'!L160</f>
        <v>15000</v>
      </c>
      <c r="D160" s="7">
        <f>'FY25'!L160</f>
        <v>12000</v>
      </c>
      <c r="E160" s="7">
        <f>'FY26'!L160</f>
        <v>12000</v>
      </c>
      <c r="F160" s="7">
        <f>'FY27'!L160</f>
        <v>12000</v>
      </c>
      <c r="G160" s="7">
        <f>'FY28'!L160</f>
        <v>8500</v>
      </c>
    </row>
    <row r="161" spans="1:7" x14ac:dyDescent="0.35">
      <c r="A161" s="63" t="s">
        <v>219</v>
      </c>
      <c r="B161" s="7"/>
      <c r="C161" s="7">
        <f>'FY24'!L161</f>
        <v>49062</v>
      </c>
      <c r="D161" s="7">
        <f>'FY25'!L161</f>
        <v>65872.362500000003</v>
      </c>
      <c r="E161" s="7">
        <f>'FY26'!L161</f>
        <v>80703.600000000006</v>
      </c>
      <c r="F161" s="7">
        <f>'FY27'!L161</f>
        <v>93375</v>
      </c>
      <c r="G161" s="7">
        <f>'FY28'!L161</f>
        <v>94595.1</v>
      </c>
    </row>
    <row r="162" spans="1:7" x14ac:dyDescent="0.35">
      <c r="A162" s="63" t="s">
        <v>108</v>
      </c>
      <c r="B162" s="7"/>
      <c r="C162" s="7">
        <f>'FY24'!L162</f>
        <v>19624.8</v>
      </c>
      <c r="D162" s="7">
        <f>'FY25'!L162</f>
        <v>26348.945</v>
      </c>
      <c r="E162" s="7">
        <f>'FY26'!L162</f>
        <v>32281.440000000002</v>
      </c>
      <c r="F162" s="7">
        <f>'FY27'!L162</f>
        <v>37350</v>
      </c>
      <c r="G162" s="7">
        <f>'FY28'!L162</f>
        <v>37838.04</v>
      </c>
    </row>
    <row r="163" spans="1:7" x14ac:dyDescent="0.35">
      <c r="A163" s="63" t="s">
        <v>109</v>
      </c>
      <c r="B163" s="7"/>
      <c r="C163" s="7">
        <f>'FY24'!L163</f>
        <v>19624.8</v>
      </c>
      <c r="D163" s="7">
        <f>'FY25'!L163</f>
        <v>26348.945</v>
      </c>
      <c r="E163" s="7">
        <f>'FY26'!L163</f>
        <v>32281.440000000002</v>
      </c>
      <c r="F163" s="7">
        <f>'FY27'!L163</f>
        <v>37350</v>
      </c>
      <c r="G163" s="7">
        <f>'FY28'!L163</f>
        <v>37838.04</v>
      </c>
    </row>
    <row r="164" spans="1:7" ht="15" thickBot="1" x14ac:dyDescent="0.4">
      <c r="A164" s="63" t="s">
        <v>110</v>
      </c>
      <c r="B164" s="7"/>
      <c r="C164" s="7">
        <f>'FY24'!L164</f>
        <v>0</v>
      </c>
      <c r="D164" s="7">
        <f>'FY25'!L164</f>
        <v>0</v>
      </c>
      <c r="E164" s="7">
        <f>'FY26'!L164</f>
        <v>0</v>
      </c>
      <c r="F164" s="7">
        <f>'FY27'!L164</f>
        <v>0</v>
      </c>
      <c r="G164" s="7">
        <f>'FY28'!L164</f>
        <v>0</v>
      </c>
    </row>
    <row r="165" spans="1:7" ht="15" thickBot="1" x14ac:dyDescent="0.4">
      <c r="A165" s="95" t="s">
        <v>111</v>
      </c>
      <c r="B165" s="92"/>
      <c r="C165" s="92">
        <f t="shared" ref="C165:G165" si="28">SUM(C152:C164)</f>
        <v>257161.59999999998</v>
      </c>
      <c r="D165" s="92">
        <f t="shared" si="28"/>
        <v>701253.0774999999</v>
      </c>
      <c r="E165" s="92">
        <f t="shared" si="28"/>
        <v>848339.30499999993</v>
      </c>
      <c r="F165" s="92">
        <f t="shared" si="28"/>
        <v>974907.60974999995</v>
      </c>
      <c r="G165" s="92">
        <f t="shared" si="28"/>
        <v>979548.76804250013</v>
      </c>
    </row>
    <row r="166" spans="1:7" x14ac:dyDescent="0.35">
      <c r="A166" s="101" t="s">
        <v>112</v>
      </c>
      <c r="B166" s="153"/>
      <c r="C166" s="153" t="str">
        <f t="shared" ref="C166:G166" si="29">C151</f>
        <v>FY24</v>
      </c>
      <c r="D166" s="153" t="str">
        <f t="shared" si="29"/>
        <v>FY25</v>
      </c>
      <c r="E166" s="153" t="str">
        <f t="shared" si="29"/>
        <v>FY26</v>
      </c>
      <c r="F166" s="153" t="str">
        <f t="shared" si="29"/>
        <v>FY27</v>
      </c>
      <c r="G166" s="153" t="str">
        <f t="shared" si="29"/>
        <v>FY28</v>
      </c>
    </row>
    <row r="167" spans="1:7" x14ac:dyDescent="0.35">
      <c r="A167" s="63" t="s">
        <v>113</v>
      </c>
      <c r="B167" s="7"/>
      <c r="C167" s="7">
        <f>'FY24'!L167</f>
        <v>12069.539999999999</v>
      </c>
      <c r="D167" s="7">
        <f>'FY25'!L167</f>
        <v>17931.888000000003</v>
      </c>
      <c r="E167" s="7">
        <f>'FY26'!L167</f>
        <v>17931.888000000003</v>
      </c>
      <c r="F167" s="7">
        <f>'FY27'!L167</f>
        <v>18114.655320000002</v>
      </c>
      <c r="G167" s="7">
        <f>'FY28'!L167</f>
        <v>18114.655320000002</v>
      </c>
    </row>
    <row r="168" spans="1:7" x14ac:dyDescent="0.35">
      <c r="A168" s="63" t="s">
        <v>114</v>
      </c>
      <c r="B168" s="7"/>
      <c r="C168" s="7">
        <f>'FY24'!L168</f>
        <v>4017</v>
      </c>
      <c r="D168" s="7">
        <f>'FY25'!L168</f>
        <v>4177.68</v>
      </c>
      <c r="E168" s="7">
        <f>'FY26'!L168</f>
        <v>4177.68</v>
      </c>
      <c r="F168" s="7">
        <f>'FY27'!L168</f>
        <v>4220.2602000000006</v>
      </c>
      <c r="G168" s="7">
        <f>'FY28'!L168</f>
        <v>4220.2602000000006</v>
      </c>
    </row>
    <row r="169" spans="1:7" x14ac:dyDescent="0.35">
      <c r="A169" s="63" t="s">
        <v>115</v>
      </c>
      <c r="B169" s="7"/>
      <c r="C169" s="7">
        <f>'FY24'!L169</f>
        <v>0</v>
      </c>
      <c r="D169" s="7">
        <f>'FY25'!L169</f>
        <v>0</v>
      </c>
      <c r="E169" s="7">
        <f>'FY26'!L169</f>
        <v>0</v>
      </c>
      <c r="F169" s="7">
        <f>'FY27'!L169</f>
        <v>0</v>
      </c>
      <c r="G169" s="7">
        <f>'FY28'!L169</f>
        <v>0</v>
      </c>
    </row>
    <row r="170" spans="1:7" x14ac:dyDescent="0.35">
      <c r="A170" s="63" t="s">
        <v>116</v>
      </c>
      <c r="B170" s="7"/>
      <c r="C170" s="7">
        <f>'FY24'!L170</f>
        <v>700</v>
      </c>
      <c r="D170" s="7">
        <f>'FY25'!L170</f>
        <v>700</v>
      </c>
      <c r="E170" s="7">
        <f>'FY26'!L170</f>
        <v>700</v>
      </c>
      <c r="F170" s="7">
        <f>'FY27'!L170</f>
        <v>725</v>
      </c>
      <c r="G170" s="7">
        <f>'FY28'!L170</f>
        <v>725</v>
      </c>
    </row>
    <row r="171" spans="1:7" x14ac:dyDescent="0.35">
      <c r="A171" s="63" t="s">
        <v>117</v>
      </c>
      <c r="B171" s="7"/>
      <c r="C171" s="7">
        <f>'FY24'!L171</f>
        <v>4500</v>
      </c>
      <c r="D171" s="7">
        <f>'FY25'!L171</f>
        <v>4800</v>
      </c>
      <c r="E171" s="7">
        <f>'FY26'!L171</f>
        <v>4800</v>
      </c>
      <c r="F171" s="7">
        <f>'FY27'!L171</f>
        <v>5200</v>
      </c>
      <c r="G171" s="7">
        <f>'FY28'!L171</f>
        <v>5200</v>
      </c>
    </row>
    <row r="172" spans="1:7" x14ac:dyDescent="0.35">
      <c r="A172" s="63" t="s">
        <v>118</v>
      </c>
      <c r="B172" s="7"/>
      <c r="C172" s="7">
        <f>'FY24'!L172</f>
        <v>25750</v>
      </c>
      <c r="D172" s="7">
        <f>'FY25'!L172</f>
        <v>31827</v>
      </c>
      <c r="E172" s="7">
        <f>'FY26'!L172</f>
        <v>31827</v>
      </c>
      <c r="F172" s="7">
        <f>'FY27'!L172</f>
        <v>32781.81</v>
      </c>
      <c r="G172" s="7">
        <f>'FY28'!L172</f>
        <v>32781.81</v>
      </c>
    </row>
    <row r="173" spans="1:7" ht="15" thickBot="1" x14ac:dyDescent="0.4">
      <c r="A173" s="63" t="s">
        <v>119</v>
      </c>
      <c r="B173" s="7"/>
      <c r="C173" s="7">
        <f>'FY24'!L173</f>
        <v>3296</v>
      </c>
      <c r="D173" s="7">
        <f>'FY25'!L173</f>
        <v>3394.88</v>
      </c>
      <c r="E173" s="7">
        <f>'FY26'!L173</f>
        <v>3394.88</v>
      </c>
      <c r="F173" s="7">
        <f>'FY27'!L173</f>
        <v>3496.7264</v>
      </c>
      <c r="G173" s="7">
        <f>'FY28'!L173</f>
        <v>3496.7264</v>
      </c>
    </row>
    <row r="174" spans="1:7" ht="15" thickBot="1" x14ac:dyDescent="0.4">
      <c r="A174" s="95" t="s">
        <v>120</v>
      </c>
      <c r="B174" s="92"/>
      <c r="C174" s="92">
        <f t="shared" ref="C174:G174" si="30">SUM(C167:C173)</f>
        <v>50332.54</v>
      </c>
      <c r="D174" s="92">
        <f t="shared" si="30"/>
        <v>62831.447999999997</v>
      </c>
      <c r="E174" s="92">
        <f t="shared" si="30"/>
        <v>62831.447999999997</v>
      </c>
      <c r="F174" s="92">
        <f t="shared" si="30"/>
        <v>64538.45192</v>
      </c>
      <c r="G174" s="92">
        <f t="shared" si="30"/>
        <v>64538.45192</v>
      </c>
    </row>
    <row r="175" spans="1:7" x14ac:dyDescent="0.35">
      <c r="A175" s="101" t="s">
        <v>121</v>
      </c>
      <c r="B175" s="96"/>
      <c r="C175" s="96"/>
      <c r="D175" s="96"/>
      <c r="E175" s="96"/>
      <c r="F175" s="96"/>
      <c r="G175" s="96"/>
    </row>
    <row r="176" spans="1:7" x14ac:dyDescent="0.35">
      <c r="A176" s="63" t="s">
        <v>222</v>
      </c>
      <c r="B176" s="7"/>
      <c r="C176" s="7">
        <f>'FY24'!L176</f>
        <v>7955.3</v>
      </c>
      <c r="D176" s="7">
        <f>'FY25'!L176</f>
        <v>13913.819700000002</v>
      </c>
      <c r="E176" s="7">
        <f>'FY26'!L176</f>
        <v>13913.819700000002</v>
      </c>
      <c r="F176" s="7">
        <f>'FY27'!L176</f>
        <v>14748.648882000001</v>
      </c>
      <c r="G176" s="7">
        <f>'FY28'!L176</f>
        <v>14748.648882000001</v>
      </c>
    </row>
    <row r="177" spans="1:7" x14ac:dyDescent="0.35">
      <c r="A177" s="63" t="s">
        <v>122</v>
      </c>
      <c r="B177" s="7"/>
      <c r="C177" s="7">
        <f>'FY24'!L177</f>
        <v>7955.3</v>
      </c>
      <c r="D177" s="7">
        <f>'FY25'!L177</f>
        <v>13913.819700000002</v>
      </c>
      <c r="E177" s="7">
        <f>'FY26'!L177</f>
        <v>13913.819700000002</v>
      </c>
      <c r="F177" s="7">
        <f>'FY27'!L177</f>
        <v>14748.648882000001</v>
      </c>
      <c r="G177" s="7">
        <f>'FY28'!L177</f>
        <v>14748.648882000001</v>
      </c>
    </row>
    <row r="178" spans="1:7" ht="15" thickBot="1" x14ac:dyDescent="0.4">
      <c r="A178" s="63" t="s">
        <v>123</v>
      </c>
      <c r="B178" s="7"/>
      <c r="C178" s="7">
        <f>'FY24'!L178</f>
        <v>7955.3</v>
      </c>
      <c r="D178" s="7">
        <f>'FY25'!L178</f>
        <v>13913.819700000002</v>
      </c>
      <c r="E178" s="7">
        <f>'FY26'!L178</f>
        <v>13913.819700000002</v>
      </c>
      <c r="F178" s="7">
        <f>'FY27'!L178</f>
        <v>14748.648882000001</v>
      </c>
      <c r="G178" s="7">
        <f>'FY28'!L178</f>
        <v>14748.648882000001</v>
      </c>
    </row>
    <row r="179" spans="1:7" ht="15" thickBot="1" x14ac:dyDescent="0.4">
      <c r="A179" s="95" t="s">
        <v>124</v>
      </c>
      <c r="B179" s="92"/>
      <c r="C179" s="92">
        <f t="shared" ref="C179:G179" si="31">SUM(C176:C178)</f>
        <v>23865.9</v>
      </c>
      <c r="D179" s="92">
        <f t="shared" si="31"/>
        <v>41741.459100000007</v>
      </c>
      <c r="E179" s="92">
        <f t="shared" si="31"/>
        <v>41741.459100000007</v>
      </c>
      <c r="F179" s="92">
        <f t="shared" si="31"/>
        <v>44245.946646000004</v>
      </c>
      <c r="G179" s="92">
        <f t="shared" si="31"/>
        <v>44245.946646000004</v>
      </c>
    </row>
    <row r="180" spans="1:7" x14ac:dyDescent="0.35">
      <c r="A180" s="101" t="s">
        <v>125</v>
      </c>
      <c r="B180" s="96"/>
      <c r="C180" s="96" t="str">
        <f t="shared" ref="C180:G180" si="32">C1</f>
        <v>FY24</v>
      </c>
      <c r="D180" s="96" t="str">
        <f t="shared" si="32"/>
        <v>FY25</v>
      </c>
      <c r="E180" s="96" t="str">
        <f t="shared" si="32"/>
        <v>FY26</v>
      </c>
      <c r="F180" s="96" t="str">
        <f t="shared" si="32"/>
        <v>FY27</v>
      </c>
      <c r="G180" s="96" t="str">
        <f t="shared" si="32"/>
        <v>FY28</v>
      </c>
    </row>
    <row r="181" spans="1:7" x14ac:dyDescent="0.35">
      <c r="A181" s="63" t="s">
        <v>126</v>
      </c>
      <c r="B181" s="7"/>
      <c r="C181" s="7">
        <f>'FY24'!L181</f>
        <v>197574.40000000002</v>
      </c>
      <c r="D181" s="7">
        <f>'FY25'!L181</f>
        <v>257964.40000000002</v>
      </c>
      <c r="E181" s="7">
        <f>'FY26'!L181</f>
        <v>316097.2</v>
      </c>
      <c r="F181" s="7">
        <f>'FY27'!L181</f>
        <v>355974.40000000008</v>
      </c>
      <c r="G181" s="7">
        <f>'FY28'!L181</f>
        <v>365834.80000000005</v>
      </c>
    </row>
    <row r="182" spans="1:7" x14ac:dyDescent="0.35">
      <c r="A182" s="63" t="s">
        <v>127</v>
      </c>
      <c r="B182" s="7"/>
      <c r="C182" s="7">
        <f>'FY24'!L182</f>
        <v>5000</v>
      </c>
      <c r="D182" s="7">
        <f>'FY25'!L182</f>
        <v>5000</v>
      </c>
      <c r="E182" s="7">
        <f>'FY26'!L182</f>
        <v>5000</v>
      </c>
      <c r="F182" s="7">
        <f>'FY27'!L182</f>
        <v>3500</v>
      </c>
      <c r="G182" s="7">
        <f>'FY28'!L182</f>
        <v>3500</v>
      </c>
    </row>
    <row r="183" spans="1:7" x14ac:dyDescent="0.35">
      <c r="A183" s="63" t="s">
        <v>128</v>
      </c>
      <c r="B183" s="7"/>
      <c r="C183" s="7">
        <f>'FY24'!L183</f>
        <v>1250</v>
      </c>
      <c r="D183" s="7">
        <f>'FY25'!L183</f>
        <v>1250</v>
      </c>
      <c r="E183" s="7">
        <f>'FY26'!L183</f>
        <v>1250</v>
      </c>
      <c r="F183" s="7">
        <f>'FY27'!L183</f>
        <v>1250</v>
      </c>
      <c r="G183" s="7">
        <f>'FY28'!L183</f>
        <v>1250</v>
      </c>
    </row>
    <row r="184" spans="1:7" x14ac:dyDescent="0.35">
      <c r="A184" s="63" t="s">
        <v>129</v>
      </c>
      <c r="B184" s="7"/>
      <c r="C184" s="7">
        <f>'FY24'!L184</f>
        <v>750</v>
      </c>
      <c r="D184" s="7">
        <f>'FY25'!L184</f>
        <v>750</v>
      </c>
      <c r="E184" s="7">
        <f>'FY26'!L184</f>
        <v>750</v>
      </c>
      <c r="F184" s="7">
        <f>'FY27'!L184</f>
        <v>750</v>
      </c>
      <c r="G184" s="7">
        <f>'FY28'!L184</f>
        <v>750</v>
      </c>
    </row>
    <row r="185" spans="1:7" x14ac:dyDescent="0.35">
      <c r="A185" s="63" t="s">
        <v>130</v>
      </c>
      <c r="B185" s="7"/>
      <c r="C185" s="7">
        <f>'FY24'!L185</f>
        <v>6500</v>
      </c>
      <c r="D185" s="7">
        <f>'FY25'!L185</f>
        <v>6500</v>
      </c>
      <c r="E185" s="7">
        <f>'FY26'!L185</f>
        <v>6500</v>
      </c>
      <c r="F185" s="7">
        <f>'FY27'!L185</f>
        <v>8500</v>
      </c>
      <c r="G185" s="7">
        <f>'FY28'!L185</f>
        <v>8500</v>
      </c>
    </row>
    <row r="186" spans="1:7" x14ac:dyDescent="0.35">
      <c r="A186" s="63" t="s">
        <v>131</v>
      </c>
      <c r="B186" s="7"/>
      <c r="C186" s="7">
        <f>'FY24'!L186</f>
        <v>0</v>
      </c>
      <c r="D186" s="7">
        <f>'FY25'!L186</f>
        <v>0</v>
      </c>
      <c r="E186" s="7">
        <f>'FY26'!L186</f>
        <v>0</v>
      </c>
      <c r="F186" s="7">
        <f>'FY27'!L186</f>
        <v>0</v>
      </c>
      <c r="G186" s="7">
        <f>'FY28'!L186</f>
        <v>0</v>
      </c>
    </row>
    <row r="187" spans="1:7" x14ac:dyDescent="0.35">
      <c r="A187" s="63" t="s">
        <v>132</v>
      </c>
      <c r="B187" s="7"/>
      <c r="C187" s="7">
        <f>'FY24'!L187</f>
        <v>0</v>
      </c>
      <c r="D187" s="7">
        <f>'FY25'!L187</f>
        <v>0</v>
      </c>
      <c r="E187" s="7">
        <f>'FY26'!L187</f>
        <v>0</v>
      </c>
      <c r="F187" s="7">
        <f>'FY27'!L187</f>
        <v>0</v>
      </c>
      <c r="G187" s="7">
        <f>'FY28'!L187</f>
        <v>0</v>
      </c>
    </row>
    <row r="188" spans="1:7" x14ac:dyDescent="0.35">
      <c r="A188" s="63" t="s">
        <v>133</v>
      </c>
      <c r="B188" s="7"/>
      <c r="C188" s="7">
        <f>'FY24'!L188</f>
        <v>0</v>
      </c>
      <c r="D188" s="7">
        <f>'FY25'!L188</f>
        <v>0</v>
      </c>
      <c r="E188" s="7">
        <f>'FY26'!L188</f>
        <v>0</v>
      </c>
      <c r="F188" s="7">
        <f>'FY27'!L188</f>
        <v>0</v>
      </c>
      <c r="G188" s="7">
        <f>'FY28'!L188</f>
        <v>0</v>
      </c>
    </row>
    <row r="189" spans="1:7" ht="15" thickBot="1" x14ac:dyDescent="0.4">
      <c r="A189" s="63" t="s">
        <v>134</v>
      </c>
      <c r="B189" s="7"/>
      <c r="C189" s="7">
        <f>'FY24'!L189</f>
        <v>1750</v>
      </c>
      <c r="D189" s="7">
        <f>'FY25'!L189</f>
        <v>1750</v>
      </c>
      <c r="E189" s="7">
        <f>'FY26'!L189</f>
        <v>1750</v>
      </c>
      <c r="F189" s="7">
        <f>'FY27'!L189</f>
        <v>1750</v>
      </c>
      <c r="G189" s="7">
        <f>'FY28'!L189</f>
        <v>1750</v>
      </c>
    </row>
    <row r="190" spans="1:7" ht="15" thickBot="1" x14ac:dyDescent="0.4">
      <c r="A190" s="95" t="s">
        <v>135</v>
      </c>
      <c r="B190" s="92"/>
      <c r="C190" s="92">
        <f t="shared" ref="C190:G190" si="33">SUM(C181:C189)</f>
        <v>212824.40000000002</v>
      </c>
      <c r="D190" s="92">
        <f t="shared" si="33"/>
        <v>273214.40000000002</v>
      </c>
      <c r="E190" s="92">
        <f t="shared" si="33"/>
        <v>331347.20000000001</v>
      </c>
      <c r="F190" s="92">
        <f t="shared" si="33"/>
        <v>371724.40000000008</v>
      </c>
      <c r="G190" s="92">
        <f t="shared" si="33"/>
        <v>381584.80000000005</v>
      </c>
    </row>
    <row r="191" spans="1:7" x14ac:dyDescent="0.35">
      <c r="A191" s="101" t="s">
        <v>136</v>
      </c>
      <c r="B191" s="77"/>
      <c r="C191" s="77" t="str">
        <f t="shared" ref="C191:G191" si="34">C180</f>
        <v>FY24</v>
      </c>
      <c r="D191" s="77" t="str">
        <f t="shared" si="34"/>
        <v>FY25</v>
      </c>
      <c r="E191" s="77" t="str">
        <f t="shared" si="34"/>
        <v>FY26</v>
      </c>
      <c r="F191" s="77" t="str">
        <f t="shared" si="34"/>
        <v>FY27</v>
      </c>
      <c r="G191" s="77" t="str">
        <f t="shared" si="34"/>
        <v>FY28</v>
      </c>
    </row>
    <row r="192" spans="1:7" x14ac:dyDescent="0.35">
      <c r="A192" s="63" t="s">
        <v>137</v>
      </c>
      <c r="B192" s="7"/>
      <c r="C192" s="7">
        <f>'FY24'!L192</f>
        <v>30728.880000000001</v>
      </c>
      <c r="D192" s="7">
        <f>'FY25'!L192</f>
        <v>33388.991999999998</v>
      </c>
      <c r="E192" s="7">
        <f>'FY26'!L192</f>
        <v>49606.502400000005</v>
      </c>
      <c r="F192" s="7">
        <f>'FY27'!L192</f>
        <v>51590.76249600001</v>
      </c>
      <c r="G192" s="7">
        <f>'FY28'!L192</f>
        <v>54170.300620800015</v>
      </c>
    </row>
    <row r="193" spans="1:11" x14ac:dyDescent="0.35">
      <c r="A193" s="63" t="s">
        <v>138</v>
      </c>
      <c r="B193" s="7"/>
      <c r="C193" s="7">
        <f>'FY24'!L193</f>
        <v>0</v>
      </c>
      <c r="D193" s="7">
        <f>'FY25'!L193</f>
        <v>0</v>
      </c>
      <c r="E193" s="7">
        <f>'FY26'!L193</f>
        <v>0</v>
      </c>
      <c r="F193" s="7">
        <f>'FY27'!L193</f>
        <v>0</v>
      </c>
      <c r="G193" s="7">
        <f>'FY28'!L193</f>
        <v>0</v>
      </c>
    </row>
    <row r="194" spans="1:11" x14ac:dyDescent="0.35">
      <c r="A194" s="63" t="s">
        <v>139</v>
      </c>
      <c r="B194" s="7"/>
      <c r="C194" s="7">
        <f>'FY24'!L194</f>
        <v>4368</v>
      </c>
      <c r="D194" s="7">
        <f>'FY25'!L194</f>
        <v>4542.72</v>
      </c>
      <c r="E194" s="7">
        <f>'FY26'!L194</f>
        <v>4724.4288000000006</v>
      </c>
      <c r="F194" s="7">
        <f>'FY27'!L194</f>
        <v>4913.405952000001</v>
      </c>
      <c r="G194" s="7">
        <f>'FY28'!L194</f>
        <v>5109.9421900800016</v>
      </c>
    </row>
    <row r="195" spans="1:11" x14ac:dyDescent="0.35">
      <c r="A195" s="63" t="s">
        <v>140</v>
      </c>
      <c r="B195" s="7"/>
      <c r="C195" s="7">
        <f>'FY24'!L195</f>
        <v>10884.016000000001</v>
      </c>
      <c r="D195" s="7">
        <f>'FY25'!L195</f>
        <v>11826.214399999999</v>
      </c>
      <c r="E195" s="7">
        <f>'FY26'!L195</f>
        <v>17570.375680000001</v>
      </c>
      <c r="F195" s="7">
        <f>'FY27'!L195</f>
        <v>18273.190707200003</v>
      </c>
      <c r="G195" s="7">
        <f>'FY28'!L195</f>
        <v>19004.118335488005</v>
      </c>
    </row>
    <row r="196" spans="1:11" x14ac:dyDescent="0.35">
      <c r="A196" s="63" t="s">
        <v>141</v>
      </c>
      <c r="B196" s="7"/>
      <c r="C196" s="7">
        <f>'FY24'!L196</f>
        <v>7210</v>
      </c>
      <c r="D196" s="7">
        <f>'FY25'!L196</f>
        <v>7426.3</v>
      </c>
      <c r="E196" s="7">
        <f>'FY26'!L196</f>
        <v>7649.0889999999999</v>
      </c>
      <c r="F196" s="7">
        <f>'FY27'!L196</f>
        <v>7955.0525600000001</v>
      </c>
      <c r="G196" s="7">
        <f>'FY28'!L196</f>
        <v>8352.8051880000003</v>
      </c>
    </row>
    <row r="197" spans="1:11" x14ac:dyDescent="0.35">
      <c r="A197" s="63" t="s">
        <v>142</v>
      </c>
      <c r="B197" s="7"/>
      <c r="C197" s="7">
        <f>'FY24'!L197</f>
        <v>90450</v>
      </c>
      <c r="D197" s="7">
        <f>'FY25'!L197</f>
        <v>97335</v>
      </c>
      <c r="E197" s="7">
        <f>'FY26'!L197</f>
        <v>118706.43073640001</v>
      </c>
      <c r="F197" s="7">
        <f>'FY27'!L197</f>
        <v>122267.62365849201</v>
      </c>
      <c r="G197" s="7">
        <f>'FY28'!L197</f>
        <v>125935.65236824678</v>
      </c>
    </row>
    <row r="198" spans="1:11" x14ac:dyDescent="0.35">
      <c r="A198" s="63" t="s">
        <v>143</v>
      </c>
      <c r="B198" s="7"/>
      <c r="C198" s="7">
        <f>'FY24'!L198</f>
        <v>17408</v>
      </c>
      <c r="D198" s="7">
        <f>'FY25'!L198</f>
        <v>23072</v>
      </c>
      <c r="E198" s="7">
        <f>'FY26'!L198</f>
        <v>27904</v>
      </c>
      <c r="F198" s="7">
        <f>'FY27'!L198</f>
        <v>31872</v>
      </c>
      <c r="G198" s="7">
        <f>'FY28'!L198</f>
        <v>31872</v>
      </c>
    </row>
    <row r="199" spans="1:11" x14ac:dyDescent="0.35">
      <c r="A199" s="63" t="s">
        <v>145</v>
      </c>
      <c r="B199" s="7"/>
      <c r="C199" s="7">
        <f>'FY24'!L199</f>
        <v>21500</v>
      </c>
      <c r="D199" s="7">
        <f>'FY25'!L199</f>
        <v>30000</v>
      </c>
      <c r="E199" s="7">
        <f>'FY26'!L199</f>
        <v>35000</v>
      </c>
      <c r="F199" s="7">
        <f>'FY27'!L199</f>
        <v>40000</v>
      </c>
      <c r="G199" s="7">
        <f>'FY28'!L199</f>
        <v>45000</v>
      </c>
    </row>
    <row r="200" spans="1:11" x14ac:dyDescent="0.35">
      <c r="A200" s="63" t="s">
        <v>146</v>
      </c>
      <c r="B200" s="7"/>
      <c r="C200" s="7">
        <f>'FY24'!L200</f>
        <v>10146.942000000001</v>
      </c>
      <c r="D200" s="7">
        <f>'FY25'!L200</f>
        <v>16079.000400000001</v>
      </c>
      <c r="E200" s="7">
        <f>'FY26'!L200</f>
        <v>16561.370412</v>
      </c>
      <c r="F200" s="7">
        <f>'FY27'!L200</f>
        <v>17058.211524360002</v>
      </c>
      <c r="G200" s="7">
        <f>'FY28'!L200</f>
        <v>17740.539985334402</v>
      </c>
    </row>
    <row r="201" spans="1:11" x14ac:dyDescent="0.35">
      <c r="A201" s="63" t="s">
        <v>147</v>
      </c>
      <c r="B201" s="7"/>
      <c r="C201" s="7">
        <f>'FY24'!L201</f>
        <v>10000</v>
      </c>
      <c r="D201" s="7">
        <f>'FY25'!L201</f>
        <v>11000</v>
      </c>
      <c r="E201" s="7">
        <f>'FY26'!L201</f>
        <v>11000</v>
      </c>
      <c r="F201" s="7">
        <f>'FY27'!L201</f>
        <v>11000</v>
      </c>
      <c r="G201" s="7">
        <f>'FY28'!L201</f>
        <v>11000</v>
      </c>
    </row>
    <row r="202" spans="1:11" ht="15" thickBot="1" x14ac:dyDescent="0.4">
      <c r="A202" s="63" t="s">
        <v>148</v>
      </c>
      <c r="B202" s="7"/>
      <c r="C202" s="7">
        <f>'FY24'!L202</f>
        <v>9708.7800000000007</v>
      </c>
      <c r="D202" s="7">
        <f>'FY25'!L202</f>
        <v>10000.0434</v>
      </c>
      <c r="E202" s="7">
        <f>'FY26'!L202</f>
        <v>10300.044702000001</v>
      </c>
      <c r="F202" s="7">
        <f>'FY27'!L202</f>
        <v>10815.046937100002</v>
      </c>
      <c r="G202" s="7">
        <f>'FY28'!L202</f>
        <v>11355.799283955002</v>
      </c>
    </row>
    <row r="203" spans="1:11" ht="15" thickBot="1" x14ac:dyDescent="0.4">
      <c r="A203" s="95" t="s">
        <v>149</v>
      </c>
      <c r="B203" s="90"/>
      <c r="C203" s="90">
        <f t="shared" ref="C203:G203" si="35">SUM(C192:C202)</f>
        <v>212404.61800000002</v>
      </c>
      <c r="D203" s="90">
        <f t="shared" si="35"/>
        <v>244670.27019999997</v>
      </c>
      <c r="E203" s="90">
        <f t="shared" si="35"/>
        <v>299022.24173040001</v>
      </c>
      <c r="F203" s="90">
        <f t="shared" si="35"/>
        <v>315745.29383515206</v>
      </c>
      <c r="G203" s="90">
        <f t="shared" si="35"/>
        <v>329541.15797190421</v>
      </c>
    </row>
    <row r="204" spans="1:11" ht="15" thickBot="1" x14ac:dyDescent="0.4">
      <c r="A204" s="102"/>
      <c r="B204" s="103"/>
      <c r="C204" s="103"/>
      <c r="D204" s="103"/>
      <c r="E204" s="103"/>
      <c r="F204" s="103"/>
      <c r="G204" s="103"/>
    </row>
    <row r="205" spans="1:11" ht="15" thickBot="1" x14ac:dyDescent="0.4">
      <c r="A205" s="95" t="s">
        <v>150</v>
      </c>
      <c r="B205" s="104"/>
      <c r="C205" s="104">
        <f>C138+C150+C165+C174+C179+C190+C203</f>
        <v>3467878.0041819997</v>
      </c>
      <c r="D205" s="104">
        <f>D138+D150+D165+D174+D179+D190+D203</f>
        <v>4943412.0095031196</v>
      </c>
      <c r="E205" s="104">
        <f>E138+E150+E165+E174+E179+E190+E203</f>
        <v>6018323.240393999</v>
      </c>
      <c r="F205" s="104">
        <f>F138+F150+F165+F174+F179+F190+F203</f>
        <v>6860407.9625832308</v>
      </c>
      <c r="G205" s="104">
        <f>G138+G150+G165+G174+G179+G190+G203</f>
        <v>7027376.6102391016</v>
      </c>
    </row>
    <row r="206" spans="1:11" x14ac:dyDescent="0.35">
      <c r="A206" s="105"/>
      <c r="B206" s="62"/>
      <c r="C206" s="62"/>
      <c r="D206" s="62"/>
      <c r="E206" s="62"/>
      <c r="F206" s="62"/>
      <c r="G206" s="62"/>
      <c r="I206" s="174" t="s">
        <v>201</v>
      </c>
      <c r="J206" s="174" t="s">
        <v>405</v>
      </c>
      <c r="K206" s="174" t="s">
        <v>177</v>
      </c>
    </row>
    <row r="207" spans="1:11" x14ac:dyDescent="0.35">
      <c r="A207" s="106" t="s">
        <v>151</v>
      </c>
      <c r="B207" s="62"/>
      <c r="C207" s="7">
        <f>'FY24'!L207</f>
        <v>600000</v>
      </c>
      <c r="D207" s="7">
        <f>'FY25'!L207</f>
        <v>900000</v>
      </c>
      <c r="E207" s="7">
        <f>'FY26'!L207</f>
        <v>1200000</v>
      </c>
      <c r="F207" s="7">
        <f>'FY27'!L207</f>
        <v>1430000</v>
      </c>
      <c r="G207" s="7">
        <f>'FY28'!L207</f>
        <v>1459000</v>
      </c>
      <c r="I207" s="359" t="s">
        <v>260</v>
      </c>
      <c r="J207" s="360">
        <f>C207</f>
        <v>600000</v>
      </c>
      <c r="K207" s="359"/>
    </row>
    <row r="208" spans="1:11" x14ac:dyDescent="0.35">
      <c r="A208" s="106" t="s">
        <v>152</v>
      </c>
      <c r="B208" s="62"/>
      <c r="C208" s="7">
        <f>'FY24'!L208</f>
        <v>0</v>
      </c>
      <c r="D208" s="7">
        <f>'FY25'!L208</f>
        <v>0</v>
      </c>
      <c r="E208" s="7">
        <f>'FY26'!L208</f>
        <v>0</v>
      </c>
      <c r="F208" s="7">
        <f>'FY27'!L208</f>
        <v>0</v>
      </c>
      <c r="G208" s="7">
        <f>'FY28'!L208</f>
        <v>0</v>
      </c>
      <c r="I208" s="359" t="s">
        <v>261</v>
      </c>
      <c r="J208" s="360">
        <f>D207</f>
        <v>900000</v>
      </c>
      <c r="K208" s="361">
        <f>(J208-J207)/J207</f>
        <v>0.5</v>
      </c>
    </row>
    <row r="209" spans="1:11" hidden="1" x14ac:dyDescent="0.35">
      <c r="A209" s="106"/>
      <c r="B209" s="62"/>
      <c r="C209" s="7">
        <f>'FY24'!L209</f>
        <v>0</v>
      </c>
      <c r="D209" s="7">
        <f>'FY25'!L209</f>
        <v>0</v>
      </c>
      <c r="E209" s="7">
        <f>'FY26'!L209</f>
        <v>0</v>
      </c>
      <c r="F209" s="7">
        <f>'FY27'!L209</f>
        <v>0</v>
      </c>
      <c r="G209" s="7">
        <f>'FY28'!L209</f>
        <v>0</v>
      </c>
      <c r="I209" s="359"/>
      <c r="J209" s="359"/>
      <c r="K209" s="116"/>
    </row>
    <row r="210" spans="1:11" hidden="1" x14ac:dyDescent="0.35">
      <c r="A210" s="106"/>
      <c r="B210" s="62"/>
      <c r="C210" s="7">
        <f>'FY24'!L210</f>
        <v>0</v>
      </c>
      <c r="D210" s="7">
        <f>'FY25'!L210</f>
        <v>0</v>
      </c>
      <c r="E210" s="7">
        <f>'FY26'!L210</f>
        <v>0</v>
      </c>
      <c r="F210" s="7">
        <f>'FY27'!L210</f>
        <v>0</v>
      </c>
      <c r="G210" s="7">
        <f>'FY28'!L210</f>
        <v>0</v>
      </c>
      <c r="I210" s="359"/>
      <c r="J210" s="359"/>
      <c r="K210" s="116"/>
    </row>
    <row r="211" spans="1:11" hidden="1" x14ac:dyDescent="0.35">
      <c r="A211" s="106"/>
      <c r="B211" s="62"/>
      <c r="C211" s="7">
        <f>'FY24'!L211</f>
        <v>0</v>
      </c>
      <c r="D211" s="7">
        <f>'FY25'!L211</f>
        <v>0</v>
      </c>
      <c r="E211" s="7">
        <f>'FY26'!L211</f>
        <v>0</v>
      </c>
      <c r="F211" s="7">
        <f>'FY27'!L211</f>
        <v>0</v>
      </c>
      <c r="G211" s="7">
        <f>'FY28'!L211</f>
        <v>0</v>
      </c>
      <c r="I211" s="359"/>
      <c r="J211" s="359"/>
      <c r="K211" s="116"/>
    </row>
    <row r="212" spans="1:11" hidden="1" x14ac:dyDescent="0.35">
      <c r="A212" s="106"/>
      <c r="B212" s="62"/>
      <c r="C212" s="7">
        <f>'FY24'!L212</f>
        <v>0</v>
      </c>
      <c r="D212" s="7">
        <f>'FY25'!L212</f>
        <v>0</v>
      </c>
      <c r="E212" s="7">
        <f>'FY26'!L212</f>
        <v>0</v>
      </c>
      <c r="F212" s="7">
        <f>'FY27'!L212</f>
        <v>0</v>
      </c>
      <c r="G212" s="7">
        <f>'FY28'!L212</f>
        <v>0</v>
      </c>
      <c r="I212" s="359"/>
      <c r="J212" s="359"/>
      <c r="K212" s="116"/>
    </row>
    <row r="213" spans="1:11" hidden="1" x14ac:dyDescent="0.35">
      <c r="A213" s="106"/>
      <c r="B213" s="62"/>
      <c r="C213" s="7">
        <f>'FY24'!L213</f>
        <v>0</v>
      </c>
      <c r="D213" s="7">
        <f>'FY25'!L213</f>
        <v>0</v>
      </c>
      <c r="E213" s="7">
        <f>'FY26'!L213</f>
        <v>0</v>
      </c>
      <c r="F213" s="7">
        <f>'FY27'!L213</f>
        <v>0</v>
      </c>
      <c r="G213" s="7">
        <f>'FY28'!L213</f>
        <v>0</v>
      </c>
      <c r="I213" s="359"/>
      <c r="J213" s="359"/>
      <c r="K213" s="116"/>
    </row>
    <row r="214" spans="1:11" x14ac:dyDescent="0.35">
      <c r="A214" s="106" t="s">
        <v>152</v>
      </c>
      <c r="B214" s="62"/>
      <c r="C214" s="7">
        <f>'FY24'!L214</f>
        <v>0</v>
      </c>
      <c r="D214" s="7">
        <f>'FY25'!L214</f>
        <v>0</v>
      </c>
      <c r="E214" s="7">
        <f>'FY26'!L214</f>
        <v>0</v>
      </c>
      <c r="F214" s="7">
        <f>'FY27'!L214</f>
        <v>0</v>
      </c>
      <c r="G214" s="7">
        <f>'FY28'!L214</f>
        <v>0</v>
      </c>
      <c r="I214" s="359" t="s">
        <v>262</v>
      </c>
      <c r="J214" s="360">
        <f>E207</f>
        <v>1200000</v>
      </c>
      <c r="K214" s="361">
        <f>(J214-J208)/J208</f>
        <v>0.33333333333333331</v>
      </c>
    </row>
    <row r="215" spans="1:11" x14ac:dyDescent="0.35">
      <c r="A215" s="107" t="s">
        <v>153</v>
      </c>
      <c r="B215" s="62"/>
      <c r="C215" s="7">
        <f>'FY24'!L215</f>
        <v>0</v>
      </c>
      <c r="D215" s="7">
        <f>'FY25'!L215</f>
        <v>0</v>
      </c>
      <c r="E215" s="7">
        <f>'FY26'!L215</f>
        <v>0</v>
      </c>
      <c r="F215" s="7">
        <f>'FY27'!L215</f>
        <v>0</v>
      </c>
      <c r="G215" s="7">
        <f>'FY28'!L215</f>
        <v>0</v>
      </c>
      <c r="I215" s="359" t="s">
        <v>265</v>
      </c>
      <c r="J215" s="360">
        <f>F207</f>
        <v>1430000</v>
      </c>
      <c r="K215" s="361">
        <f>(J215-J214)/J214</f>
        <v>0.19166666666666668</v>
      </c>
    </row>
    <row r="216" spans="1:11" x14ac:dyDescent="0.35">
      <c r="A216" s="150"/>
      <c r="B216" s="62"/>
      <c r="C216" s="7">
        <f>'FY24'!R216</f>
        <v>0</v>
      </c>
      <c r="D216" s="7">
        <f>'FY25'!R216</f>
        <v>0</v>
      </c>
      <c r="E216" s="7">
        <f>'FY26'!R216</f>
        <v>0</v>
      </c>
      <c r="F216" s="7">
        <f>'FY27'!R216</f>
        <v>0</v>
      </c>
      <c r="G216" s="7">
        <f>'FY28'!R216</f>
        <v>0</v>
      </c>
      <c r="I216" s="359" t="s">
        <v>407</v>
      </c>
      <c r="J216" s="360">
        <f>G207</f>
        <v>1459000</v>
      </c>
      <c r="K216" s="361">
        <f>(J216-J215)/J215</f>
        <v>2.0279720279720279E-2</v>
      </c>
    </row>
    <row r="217" spans="1:11" x14ac:dyDescent="0.35">
      <c r="A217" s="151"/>
      <c r="B217" s="62"/>
      <c r="C217" s="7"/>
      <c r="D217" s="7"/>
      <c r="E217" s="7"/>
      <c r="F217" s="7"/>
      <c r="G217" s="7"/>
      <c r="K217" s="116"/>
    </row>
    <row r="218" spans="1:11" ht="15" thickBot="1" x14ac:dyDescent="0.4">
      <c r="A218" s="148" t="s">
        <v>154</v>
      </c>
      <c r="B218" s="149"/>
      <c r="C218" s="149">
        <f t="shared" ref="C218:G218" si="36">C87-C205-C207-C208-C214-C215</f>
        <v>133433.99581800029</v>
      </c>
      <c r="D218" s="149">
        <f t="shared" si="36"/>
        <v>236889.42049688008</v>
      </c>
      <c r="E218" s="149">
        <f t="shared" si="36"/>
        <v>295097.69960600138</v>
      </c>
      <c r="F218" s="149">
        <f t="shared" si="36"/>
        <v>442550.95741676912</v>
      </c>
      <c r="G218" s="149">
        <f t="shared" si="36"/>
        <v>496109.02976089902</v>
      </c>
    </row>
    <row r="219" spans="1:11" ht="15" thickBot="1" x14ac:dyDescent="0.4">
      <c r="A219" s="108"/>
      <c r="B219" s="110"/>
      <c r="C219" s="110">
        <f t="shared" ref="C219:G219" si="37">C218/(C87-C77)</f>
        <v>3.3251959675699133E-2</v>
      </c>
      <c r="D219" s="110">
        <f t="shared" si="37"/>
        <v>4.0604668968804547E-2</v>
      </c>
      <c r="E219" s="110">
        <f t="shared" si="37"/>
        <v>4.0946229933280738E-2</v>
      </c>
      <c r="F219" s="110">
        <f t="shared" si="37"/>
        <v>5.2729991104154494E-2</v>
      </c>
      <c r="G219" s="110">
        <f t="shared" si="37"/>
        <v>5.747030352990138E-2</v>
      </c>
    </row>
    <row r="220" spans="1:11" x14ac:dyDescent="0.35">
      <c r="B220" s="111"/>
      <c r="C220" s="111"/>
      <c r="D220" s="111"/>
      <c r="E220" s="111"/>
      <c r="F220" s="111"/>
      <c r="G220" s="111"/>
    </row>
    <row r="221" spans="1:11" x14ac:dyDescent="0.35">
      <c r="A221" s="174" t="str">
        <f>A1</f>
        <v>DANN New Facility</v>
      </c>
      <c r="B221" s="174" t="str">
        <f t="shared" ref="B221:G221" si="38">B1</f>
        <v>FY23</v>
      </c>
      <c r="C221" s="174" t="str">
        <f t="shared" si="38"/>
        <v>FY24</v>
      </c>
      <c r="D221" s="174" t="str">
        <f t="shared" si="38"/>
        <v>FY25</v>
      </c>
      <c r="E221" s="174" t="str">
        <f t="shared" si="38"/>
        <v>FY26</v>
      </c>
      <c r="F221" s="174" t="str">
        <f t="shared" si="38"/>
        <v>FY27</v>
      </c>
      <c r="G221" s="174" t="str">
        <f t="shared" si="38"/>
        <v>FY28</v>
      </c>
    </row>
    <row r="222" spans="1:11" x14ac:dyDescent="0.35">
      <c r="B222" s="109"/>
      <c r="C222" s="109"/>
      <c r="D222" s="109"/>
      <c r="E222" s="109"/>
      <c r="F222" s="109"/>
      <c r="G222" s="109"/>
    </row>
    <row r="223" spans="1:11" x14ac:dyDescent="0.35">
      <c r="C223" t="b">
        <f>C218='FY24'!L218</f>
        <v>1</v>
      </c>
      <c r="D223" t="b">
        <f>D218='FY25'!L218</f>
        <v>1</v>
      </c>
      <c r="E223" t="b">
        <f>E218='FY26'!L218</f>
        <v>1</v>
      </c>
      <c r="F223" t="b">
        <f>F218='FY27'!L218</f>
        <v>1</v>
      </c>
      <c r="G223" t="b">
        <f>G218='FY28'!L218</f>
        <v>1</v>
      </c>
    </row>
    <row r="226" spans="1:7" x14ac:dyDescent="0.35">
      <c r="A226" s="285" t="s">
        <v>335</v>
      </c>
      <c r="B226" s="286">
        <f t="shared" ref="B226:G226" si="39">B87-B205</f>
        <v>0</v>
      </c>
      <c r="C226" s="286">
        <f t="shared" si="39"/>
        <v>733433.99581800029</v>
      </c>
      <c r="D226" s="286">
        <f t="shared" si="39"/>
        <v>1136889.4204968801</v>
      </c>
      <c r="E226" s="286">
        <f t="shared" si="39"/>
        <v>1495097.6996060014</v>
      </c>
      <c r="F226" s="286">
        <f t="shared" si="39"/>
        <v>1872550.9574167691</v>
      </c>
      <c r="G226" s="286">
        <f t="shared" si="39"/>
        <v>1955109.029760899</v>
      </c>
    </row>
    <row r="227" spans="1:7" x14ac:dyDescent="0.35">
      <c r="B227" s="287"/>
      <c r="C227" s="287"/>
      <c r="D227" s="287"/>
      <c r="E227" s="287"/>
      <c r="F227" s="287"/>
      <c r="G227" s="287"/>
    </row>
    <row r="228" spans="1:7" x14ac:dyDescent="0.35">
      <c r="A228" t="str">
        <f>A207</f>
        <v>Scheduled Lease Payment</v>
      </c>
      <c r="B228" s="288">
        <f>B207</f>
        <v>0</v>
      </c>
      <c r="C228" s="288">
        <f t="shared" ref="C228:G228" si="40">C207</f>
        <v>600000</v>
      </c>
      <c r="D228" s="288">
        <f t="shared" si="40"/>
        <v>900000</v>
      </c>
      <c r="E228" s="288">
        <f t="shared" si="40"/>
        <v>1200000</v>
      </c>
      <c r="F228" s="288">
        <f t="shared" si="40"/>
        <v>1430000</v>
      </c>
      <c r="G228" s="288">
        <f t="shared" si="40"/>
        <v>1459000</v>
      </c>
    </row>
    <row r="229" spans="1:7" x14ac:dyDescent="0.35">
      <c r="A229" t="str">
        <f>A208</f>
        <v>Scheduled Bond Payment</v>
      </c>
      <c r="B229" s="288">
        <f t="shared" ref="B229:G229" si="41">B209</f>
        <v>0</v>
      </c>
      <c r="C229" s="288">
        <f t="shared" si="41"/>
        <v>0</v>
      </c>
      <c r="D229" s="288">
        <f t="shared" si="41"/>
        <v>0</v>
      </c>
      <c r="E229" s="288">
        <f t="shared" si="41"/>
        <v>0</v>
      </c>
      <c r="F229" s="288">
        <f t="shared" si="41"/>
        <v>0</v>
      </c>
      <c r="G229" s="288">
        <f t="shared" si="41"/>
        <v>0</v>
      </c>
    </row>
    <row r="230" spans="1:7" x14ac:dyDescent="0.35">
      <c r="B230" s="288">
        <f t="shared" ref="B230:G230" si="42">B215</f>
        <v>0</v>
      </c>
      <c r="C230" s="288">
        <f t="shared" si="42"/>
        <v>0</v>
      </c>
      <c r="D230" s="288">
        <f t="shared" si="42"/>
        <v>0</v>
      </c>
      <c r="E230" s="288">
        <f t="shared" si="42"/>
        <v>0</v>
      </c>
      <c r="F230" s="288">
        <f t="shared" si="42"/>
        <v>0</v>
      </c>
      <c r="G230" s="288">
        <f t="shared" si="42"/>
        <v>0</v>
      </c>
    </row>
    <row r="231" spans="1:7" x14ac:dyDescent="0.35">
      <c r="A231" s="289" t="s">
        <v>336</v>
      </c>
      <c r="B231" s="290">
        <f t="shared" ref="B231:G231" si="43">SUM(B228:B230)</f>
        <v>0</v>
      </c>
      <c r="C231" s="290">
        <f t="shared" si="43"/>
        <v>600000</v>
      </c>
      <c r="D231" s="290">
        <f t="shared" si="43"/>
        <v>900000</v>
      </c>
      <c r="E231" s="290">
        <f t="shared" si="43"/>
        <v>1200000</v>
      </c>
      <c r="F231" s="290">
        <f t="shared" si="43"/>
        <v>1430000</v>
      </c>
      <c r="G231" s="290">
        <f t="shared" si="43"/>
        <v>1459000</v>
      </c>
    </row>
    <row r="232" spans="1:7" x14ac:dyDescent="0.35">
      <c r="B232" s="287"/>
      <c r="C232" s="287"/>
      <c r="D232" s="287"/>
      <c r="E232" s="287"/>
      <c r="F232" s="287"/>
      <c r="G232" s="287"/>
    </row>
    <row r="233" spans="1:7" x14ac:dyDescent="0.35">
      <c r="A233" s="285" t="s">
        <v>337</v>
      </c>
      <c r="B233" s="291"/>
      <c r="C233" s="291">
        <f t="shared" ref="C233:G233" si="44">C226/C231</f>
        <v>1.2223899930300004</v>
      </c>
      <c r="D233" s="291">
        <f t="shared" si="44"/>
        <v>1.2632104672187556</v>
      </c>
      <c r="E233" s="291">
        <f t="shared" si="44"/>
        <v>1.2459147496716678</v>
      </c>
      <c r="F233" s="291">
        <f t="shared" si="44"/>
        <v>1.3094761939977406</v>
      </c>
      <c r="G233" s="291">
        <f t="shared" si="44"/>
        <v>1.3400336050451673</v>
      </c>
    </row>
    <row r="234" spans="1:7" x14ac:dyDescent="0.35">
      <c r="B234" s="287"/>
      <c r="C234" s="287"/>
      <c r="D234" s="287"/>
      <c r="E234" s="287"/>
      <c r="F234" s="287"/>
      <c r="G234" s="287"/>
    </row>
    <row r="235" spans="1:7" x14ac:dyDescent="0.35">
      <c r="A235" s="292" t="s">
        <v>338</v>
      </c>
      <c r="B235" s="292"/>
      <c r="C235" s="292"/>
      <c r="D235" s="292"/>
      <c r="E235" s="292"/>
      <c r="F235" s="292"/>
      <c r="G235" s="292"/>
    </row>
    <row r="236" spans="1:7" x14ac:dyDescent="0.35">
      <c r="A236" t="s">
        <v>339</v>
      </c>
      <c r="B236" s="293"/>
      <c r="C236" s="293"/>
      <c r="D236" s="293">
        <f t="shared" ref="D236:G236" si="45">C239</f>
        <v>133433.99581800029</v>
      </c>
      <c r="E236" s="293">
        <f t="shared" si="45"/>
        <v>370323.41631488036</v>
      </c>
      <c r="F236" s="293">
        <f t="shared" si="45"/>
        <v>665421.11592088174</v>
      </c>
      <c r="G236" s="293">
        <f t="shared" si="45"/>
        <v>1107972.0733376509</v>
      </c>
    </row>
    <row r="237" spans="1:7" x14ac:dyDescent="0.35">
      <c r="A237" s="287" t="s">
        <v>340</v>
      </c>
      <c r="B237" s="294"/>
      <c r="C237" s="294">
        <v>0</v>
      </c>
      <c r="D237" s="294">
        <v>0</v>
      </c>
      <c r="E237" s="294">
        <v>0</v>
      </c>
      <c r="F237" s="294">
        <v>0</v>
      </c>
      <c r="G237" s="294">
        <v>0</v>
      </c>
    </row>
    <row r="238" spans="1:7" x14ac:dyDescent="0.35">
      <c r="A238" s="287" t="s">
        <v>341</v>
      </c>
      <c r="B238" s="294"/>
      <c r="C238" s="294">
        <f>C218</f>
        <v>133433.99581800029</v>
      </c>
      <c r="D238" s="294">
        <f>D218</f>
        <v>236889.42049688008</v>
      </c>
      <c r="E238" s="294">
        <f>E218</f>
        <v>295097.69960600138</v>
      </c>
      <c r="F238" s="294">
        <f>F218</f>
        <v>442550.95741676912</v>
      </c>
      <c r="G238" s="294">
        <f>G218</f>
        <v>496109.02976089902</v>
      </c>
    </row>
    <row r="239" spans="1:7" x14ac:dyDescent="0.35">
      <c r="A239" s="295" t="s">
        <v>342</v>
      </c>
      <c r="B239" s="296"/>
      <c r="C239" s="296">
        <f t="shared" ref="C239:G239" si="46">C236+C237+C238</f>
        <v>133433.99581800029</v>
      </c>
      <c r="D239" s="296">
        <f t="shared" si="46"/>
        <v>370323.41631488036</v>
      </c>
      <c r="E239" s="296">
        <f t="shared" si="46"/>
        <v>665421.11592088174</v>
      </c>
      <c r="F239" s="296">
        <f t="shared" si="46"/>
        <v>1107972.0733376509</v>
      </c>
      <c r="G239" s="296">
        <f t="shared" si="46"/>
        <v>1604081.1030985499</v>
      </c>
    </row>
    <row r="240" spans="1:7" x14ac:dyDescent="0.35">
      <c r="A240" s="285" t="s">
        <v>343</v>
      </c>
      <c r="B240" s="291"/>
      <c r="C240" s="291">
        <f>C239/((SUM(C205:C216))/365)</f>
        <v>11.972681684037807</v>
      </c>
      <c r="D240" s="291">
        <f>D239/((SUM(D205:D216))/365)</f>
        <v>23.131698866194622</v>
      </c>
      <c r="E240" s="291">
        <f>E239/((SUM(E205:E216))/365)</f>
        <v>33.647524393471848</v>
      </c>
      <c r="F240" s="291">
        <f>F239/((SUM(F205:F216))/365)</f>
        <v>48.78044706526498</v>
      </c>
      <c r="G240" s="291">
        <f>G239/((SUM(G205:G216))/365)</f>
        <v>68.991706298369735</v>
      </c>
    </row>
    <row r="241" spans="1:9" x14ac:dyDescent="0.35">
      <c r="B241" s="109"/>
      <c r="C241" s="109"/>
      <c r="D241" s="109"/>
      <c r="E241" s="109"/>
      <c r="F241" s="109"/>
      <c r="G241" s="109"/>
    </row>
    <row r="242" spans="1:9" x14ac:dyDescent="0.35">
      <c r="B242" s="109"/>
      <c r="C242" s="121"/>
      <c r="D242" s="121"/>
      <c r="E242" s="121"/>
      <c r="F242" s="121"/>
      <c r="G242" s="121"/>
      <c r="I242" s="174" t="s">
        <v>354</v>
      </c>
    </row>
    <row r="243" spans="1:9" x14ac:dyDescent="0.35">
      <c r="A243" s="116" t="s">
        <v>344</v>
      </c>
      <c r="B243" s="121"/>
      <c r="C243" s="121">
        <f>C130/SUM(C205:C215)</f>
        <v>0.41695558909492658</v>
      </c>
      <c r="D243" s="121">
        <f>D130/SUM(D205:D215)</f>
        <v>0.36957224913798831</v>
      </c>
      <c r="E243" s="121">
        <f>E130/SUM(E205:E215)</f>
        <v>0.36421448106395682</v>
      </c>
      <c r="F243" s="121">
        <f>F130/SUM(F205:F215)</f>
        <v>0.36397325589189083</v>
      </c>
      <c r="G243" s="121">
        <f>G130/SUM(G205:G215)</f>
        <v>0.36863220343174363</v>
      </c>
      <c r="I243" s="297">
        <f t="shared" ref="I243:I248" si="47">AVERAGE(B243:G243)</f>
        <v>0.37666955572410127</v>
      </c>
    </row>
    <row r="244" spans="1:9" x14ac:dyDescent="0.35">
      <c r="A244" s="116" t="s">
        <v>345</v>
      </c>
      <c r="B244" s="121"/>
      <c r="C244" s="121">
        <f>SUM(C131:C134)/SUM(C205:C215)</f>
        <v>0.20367807385821754</v>
      </c>
      <c r="D244" s="121">
        <f>SUM(D131:D134)/SUM(D205:D215)</f>
        <v>0.18708384997211214</v>
      </c>
      <c r="E244" s="121">
        <f>SUM(E131:E134)/SUM(E205:E215)</f>
        <v>0.18538601817152178</v>
      </c>
      <c r="F244" s="121">
        <f>SUM(F131:F134)/SUM(F205:F215)</f>
        <v>0.18605701053316742</v>
      </c>
      <c r="G244" s="121">
        <f>SUM(G131:G134)/SUM(G205:G215)</f>
        <v>0.18925075923885909</v>
      </c>
      <c r="I244" s="297">
        <f t="shared" si="47"/>
        <v>0.19029114235477559</v>
      </c>
    </row>
    <row r="245" spans="1:9" x14ac:dyDescent="0.35">
      <c r="A245" s="116" t="s">
        <v>103</v>
      </c>
      <c r="B245" s="121"/>
      <c r="C245" s="121">
        <f>C156/SUM(C205:C215)</f>
        <v>2.1682066155702213E-3</v>
      </c>
      <c r="D245" s="121">
        <f>D156/SUM(D205:D215)</f>
        <v>1.8585032139336439E-3</v>
      </c>
      <c r="E245" s="121">
        <f>E156/SUM(E205:E215)</f>
        <v>1.7039968411457045E-3</v>
      </c>
      <c r="F245" s="121">
        <f>F156/SUM(F205:F215)</f>
        <v>1.6283878985122343E-3</v>
      </c>
      <c r="G245" s="121">
        <f>G156/SUM(G205:G215)</f>
        <v>1.590784927422593E-3</v>
      </c>
      <c r="I245" s="297">
        <f t="shared" si="47"/>
        <v>1.7899758993168793E-3</v>
      </c>
    </row>
    <row r="246" spans="1:9" x14ac:dyDescent="0.35">
      <c r="A246" s="116" t="s">
        <v>346</v>
      </c>
      <c r="B246" s="121"/>
      <c r="C246" s="121">
        <f t="shared" ref="C246:G246" si="48">(C154+C155+C162+C163)/SUM(C205:C215)</f>
        <v>9.6486669363361633E-3</v>
      </c>
      <c r="D246" s="121">
        <f t="shared" si="48"/>
        <v>6.4542409364023237E-2</v>
      </c>
      <c r="E246" s="121">
        <f t="shared" si="48"/>
        <v>6.3305959678117363E-2</v>
      </c>
      <c r="F246" s="121">
        <f t="shared" si="48"/>
        <v>6.3072891269040532E-2</v>
      </c>
      <c r="G246" s="121">
        <f t="shared" si="48"/>
        <v>6.1731420140832036E-2</v>
      </c>
      <c r="I246" s="297">
        <f t="shared" si="47"/>
        <v>5.2460269477669866E-2</v>
      </c>
    </row>
    <row r="247" spans="1:9" x14ac:dyDescent="0.35">
      <c r="A247" s="116" t="s">
        <v>347</v>
      </c>
      <c r="B247" s="121"/>
      <c r="C247" s="121">
        <f>(C153+C152+C136)/SUM(C205:C215)</f>
        <v>3.4311500948777059E-2</v>
      </c>
      <c r="D247" s="121">
        <f>(D153+D152+D136)/SUM(D205:D215)</f>
        <v>3.7231672120018745E-2</v>
      </c>
      <c r="E247" s="121">
        <f>(E153+E152+E136)/SUM(E205:E215)</f>
        <v>3.786405663721449E-2</v>
      </c>
      <c r="F247" s="121">
        <f>(F153+F152+F136)/SUM(F205:F215)</f>
        <v>3.8875197873806007E-2</v>
      </c>
      <c r="G247" s="121">
        <f>(G153+G152+G136)/SUM(G205:G215)</f>
        <v>3.8805617830189786E-2</v>
      </c>
      <c r="I247" s="297">
        <f t="shared" si="47"/>
        <v>3.7417609082001216E-2</v>
      </c>
    </row>
    <row r="248" spans="1:9" x14ac:dyDescent="0.35">
      <c r="A248" s="116" t="s">
        <v>348</v>
      </c>
      <c r="B248" s="121"/>
      <c r="C248" s="121">
        <f t="shared" ref="C248:G248" si="49">(C172+C142+C143)/SUM(C205:C215)</f>
        <v>2.5135955378917815E-2</v>
      </c>
      <c r="D248" s="121">
        <f t="shared" si="49"/>
        <v>3.5737168568703598E-2</v>
      </c>
      <c r="E248" s="121">
        <f t="shared" si="49"/>
        <v>3.5579869652107958E-2</v>
      </c>
      <c r="F248" s="121">
        <f t="shared" si="49"/>
        <v>3.4109516838769324E-2</v>
      </c>
      <c r="G248" s="121">
        <f t="shared" si="49"/>
        <v>2.7430058868603693E-2</v>
      </c>
      <c r="I248" s="297">
        <f t="shared" si="47"/>
        <v>3.1598513861420478E-2</v>
      </c>
    </row>
    <row r="249" spans="1:9" x14ac:dyDescent="0.35">
      <c r="A249" s="116" t="s">
        <v>87</v>
      </c>
      <c r="B249" s="121"/>
      <c r="C249" s="121">
        <f>(C140+C144+C145+C146+C147+C148)/SUM(C205:C215)</f>
        <v>1.9715910830548033E-2</v>
      </c>
      <c r="D249" s="121">
        <f>(D140+D144+D145+D146+D147+D148)/SUM(D205:D215)</f>
        <v>2.5546790087234275E-2</v>
      </c>
      <c r="E249" s="121">
        <f>(E140+E144+E145+E146+E147+E148)/SUM(E205:E215)</f>
        <v>2.6411608853026906E-2</v>
      </c>
      <c r="F249" s="121">
        <f>(F140+F144+F145+F146+F147+F148)/SUM(F205:F215)</f>
        <v>2.6394474311468862E-2</v>
      </c>
      <c r="G249" s="121">
        <f>(G140+G144+G145+G146+G147+G148)/SUM(G205:G215)</f>
        <v>2.7268712034390848E-2</v>
      </c>
      <c r="I249" s="297">
        <f t="shared" ref="I249:I251" si="50">AVERAGE(B249:G249)</f>
        <v>2.5067499223333782E-2</v>
      </c>
    </row>
    <row r="250" spans="1:9" x14ac:dyDescent="0.35">
      <c r="A250" s="116" t="s">
        <v>183</v>
      </c>
      <c r="B250" s="121"/>
      <c r="C250" s="121">
        <f>(C179)/SUM(C205:C215)</f>
        <v>5.8669163567502663E-3</v>
      </c>
      <c r="D250" s="121">
        <f t="shared" ref="D250:G250" si="51">(D179)/SUM(D205:D215)</f>
        <v>7.1433366382716171E-3</v>
      </c>
      <c r="E250" s="121">
        <f t="shared" si="51"/>
        <v>5.7827084919685069E-3</v>
      </c>
      <c r="F250" s="121">
        <f t="shared" si="51"/>
        <v>5.3370047464121762E-3</v>
      </c>
      <c r="G250" s="121">
        <f t="shared" si="51"/>
        <v>5.2137618536297068E-3</v>
      </c>
      <c r="I250" s="297">
        <f t="shared" si="50"/>
        <v>5.868745617406454E-3</v>
      </c>
    </row>
    <row r="251" spans="1:9" x14ac:dyDescent="0.35">
      <c r="A251" s="116" t="s">
        <v>349</v>
      </c>
      <c r="B251" s="121"/>
      <c r="C251" s="121">
        <f>(C203+C207+C208)/SUM(C205:C215)</f>
        <v>0.19971213914596356</v>
      </c>
      <c r="D251" s="121">
        <f t="shared" ref="D251:G251" si="52">(D203+D207+D208)/SUM(D205:D215)</f>
        <v>0.19589073444392194</v>
      </c>
      <c r="E251" s="121">
        <f t="shared" si="52"/>
        <v>0.20766903778176862</v>
      </c>
      <c r="F251" s="121">
        <f t="shared" si="52"/>
        <v>0.21057411187895153</v>
      </c>
      <c r="G251" s="121">
        <f t="shared" si="52"/>
        <v>0.21075439379086341</v>
      </c>
      <c r="I251" s="297">
        <f t="shared" si="50"/>
        <v>0.20492008340829382</v>
      </c>
    </row>
    <row r="252" spans="1:9" x14ac:dyDescent="0.35">
      <c r="A252" s="116" t="s">
        <v>155</v>
      </c>
      <c r="B252" s="121"/>
      <c r="C252" s="121">
        <f>(C181)/SUM(C205:C215)</f>
        <v>4.8569401490625531E-2</v>
      </c>
      <c r="D252" s="121">
        <f>(D181)/SUM(D205:D215)</f>
        <v>4.4146193966893565E-2</v>
      </c>
      <c r="E252" s="121">
        <f>(E181)/SUM(E205:E215)</f>
        <v>4.3790945552439189E-2</v>
      </c>
      <c r="F252" s="121">
        <f>(F181)/SUM(F205:F215)</f>
        <v>4.2938104084455822E-2</v>
      </c>
      <c r="G252" s="121">
        <f>(G181)/SUM(G205:G215)</f>
        <v>4.3108480427159916E-2</v>
      </c>
      <c r="I252" s="297">
        <f t="shared" ref="I252:I257" si="53">AVERAGE(B252:G252)</f>
        <v>4.4510625104314805E-2</v>
      </c>
    </row>
    <row r="253" spans="1:9" x14ac:dyDescent="0.35">
      <c r="A253" s="116" t="s">
        <v>350</v>
      </c>
      <c r="B253" s="121"/>
      <c r="C253" s="121">
        <f>(C149)/SUM(C205:C215)</f>
        <v>0</v>
      </c>
      <c r="D253" s="121">
        <f>(D149)/SUM(D205:D215)</f>
        <v>0</v>
      </c>
      <c r="E253" s="121">
        <f>(E149)/SUM(E205:E215)</f>
        <v>0</v>
      </c>
      <c r="F253" s="121">
        <f>(F149)/SUM(F205:F215)</f>
        <v>0</v>
      </c>
      <c r="G253" s="121">
        <f>(G149)/SUM(G205:G215)</f>
        <v>0</v>
      </c>
      <c r="I253" s="297">
        <f t="shared" si="53"/>
        <v>0</v>
      </c>
    </row>
    <row r="254" spans="1:9" x14ac:dyDescent="0.35">
      <c r="A254" s="116" t="s">
        <v>351</v>
      </c>
      <c r="B254" s="121"/>
      <c r="C254" s="121">
        <f>C183/SUM(C205:C215)</f>
        <v>3.0728551807967987E-4</v>
      </c>
      <c r="D254" s="121">
        <f>D183/SUM(D205:D215)</f>
        <v>2.1391611578425919E-4</v>
      </c>
      <c r="E254" s="121">
        <f>E183/SUM(E205:E215)</f>
        <v>1.7317041068553907E-4</v>
      </c>
      <c r="F254" s="121">
        <f>F183/SUM(F205:F215)</f>
        <v>1.5077665726965131E-4</v>
      </c>
      <c r="G254" s="121">
        <f>G183/SUM(G205:G215)</f>
        <v>1.4729490068727714E-4</v>
      </c>
      <c r="I254" s="297">
        <f t="shared" si="53"/>
        <v>1.9848872050128133E-4</v>
      </c>
    </row>
    <row r="255" spans="1:9" x14ac:dyDescent="0.35">
      <c r="A255" s="116" t="s">
        <v>352</v>
      </c>
      <c r="B255" s="121"/>
      <c r="C255" s="121">
        <f>(C157+C158)/SUM(C205:C215)</f>
        <v>1.3520562795505916E-3</v>
      </c>
      <c r="D255" s="121">
        <f>(D157+D158)/SUM(D205:D215)</f>
        <v>3.5283880319356749E-3</v>
      </c>
      <c r="E255" s="121">
        <f>(E157+E158)/SUM(E205:E215)</f>
        <v>2.85631777815406E-3</v>
      </c>
      <c r="F255" s="121">
        <f>(F157+F158)/SUM(F205:F215)</f>
        <v>2.5416553497850207E-3</v>
      </c>
      <c r="G255" s="121">
        <f>(G157+G158)/SUM(G205:G215)</f>
        <v>2.5497926307433039E-3</v>
      </c>
      <c r="I255" s="297">
        <f t="shared" si="53"/>
        <v>2.5656420140337303E-3</v>
      </c>
    </row>
    <row r="256" spans="1:9" x14ac:dyDescent="0.35">
      <c r="A256" s="116" t="s">
        <v>353</v>
      </c>
      <c r="B256" s="121"/>
      <c r="C256" s="121">
        <f>(C159+C160+C167+C168+C169+C171+C173)/SUM(C205:C215)</f>
        <v>1.5576312744595552E-2</v>
      </c>
      <c r="D256" s="121">
        <f>(D159+D160+D167+D168+D169+D171+D173)/SUM(D205:D215)</f>
        <v>1.279208925854197E-2</v>
      </c>
      <c r="E256" s="121">
        <f>(E159+E160+E167+E168+E169+E171+E173)/SUM(E205:E215)</f>
        <v>1.1296868439428469E-2</v>
      </c>
      <c r="F256" s="121">
        <f>(F159+F160+F167+F168+F169+F171+F173)/SUM(F205:F215)</f>
        <v>1.0596781523478378E-2</v>
      </c>
      <c r="G256" s="121">
        <f>(G159+G160+G167+G168+G169+G171+G173)/SUM(G205:G215)</f>
        <v>9.9396533755321311E-3</v>
      </c>
      <c r="I256" s="297">
        <f t="shared" si="53"/>
        <v>1.2040341068315301E-2</v>
      </c>
    </row>
    <row r="257" spans="1:9" x14ac:dyDescent="0.35">
      <c r="A257" s="116" t="s">
        <v>125</v>
      </c>
      <c r="B257" s="121"/>
      <c r="C257" s="121">
        <f>(C161+C170+C182+C184+C185+C187+C189+C135+C188)/SUM(C205:C215)</f>
        <v>1.7001984801141456E-2</v>
      </c>
      <c r="D257" s="121">
        <f>(D161+D170+D182+D184+D185+D187+D189+D135+D188)/SUM(D205:D215)</f>
        <v>1.4712699080637043E-2</v>
      </c>
      <c r="E257" s="121">
        <f>(E161+E170+E182+E184+E185+E187+E189+E135+E188)/SUM(E205:E215)</f>
        <v>1.3964960648464647E-2</v>
      </c>
      <c r="F257" s="121">
        <f>(F161+F170+F182+F184+F185+F187+F189+F135+F188)/SUM(F205:F215)</f>
        <v>1.3750831142992199E-2</v>
      </c>
      <c r="G257" s="121">
        <f>(G161+G170+G182+G184+G185+G187+G189+G135+G188)/SUM(G205:G215)</f>
        <v>1.3577066549342513E-2</v>
      </c>
      <c r="I257" s="297">
        <f t="shared" si="53"/>
        <v>1.4601508444515571E-2</v>
      </c>
    </row>
    <row r="259" spans="1:9" x14ac:dyDescent="0.35">
      <c r="B259" s="297">
        <f>SUM(B243:B258)</f>
        <v>0</v>
      </c>
      <c r="C259" s="297">
        <f>SUM(C243:C258)</f>
        <v>1</v>
      </c>
      <c r="D259" s="297">
        <f>SUM(D243:D258)</f>
        <v>0.99999999999999978</v>
      </c>
      <c r="E259" s="297">
        <f t="shared" ref="E259:G259" si="54">SUM(E243:E258)</f>
        <v>1.0000000000000002</v>
      </c>
      <c r="F259" s="297">
        <f t="shared" si="54"/>
        <v>1</v>
      </c>
      <c r="G259" s="297">
        <f t="shared" si="54"/>
        <v>1</v>
      </c>
      <c r="I259" s="297">
        <f t="shared" ref="I259" si="55">SUM(I243:I258)</f>
        <v>1</v>
      </c>
    </row>
  </sheetData>
  <phoneticPr fontId="46" type="noConversion"/>
  <pageMargins left="0.7" right="0.7" top="0.75" bottom="0.75" header="0.3" footer="0.3"/>
  <pageSetup scale="62" orientation="portrait" horizontalDpi="100" verticalDpi="100" r:id="rId1"/>
  <rowBreaks count="1" manualBreakCount="1">
    <brk id="150" max="6" man="1"/>
  </rowBreaks>
  <colBreaks count="1" manualBreakCount="1">
    <brk id="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zoomScale="75" zoomScaleNormal="75" workbookViewId="0">
      <pane xSplit="1" topLeftCell="B1" activePane="topRight" state="frozen"/>
      <selection activeCell="A2" sqref="A2"/>
      <selection pane="topRight" activeCell="A10" sqref="A10"/>
    </sheetView>
  </sheetViews>
  <sheetFormatPr defaultRowHeight="14.5" x14ac:dyDescent="0.35"/>
  <cols>
    <col min="1" max="1" width="46.81640625" customWidth="1"/>
    <col min="2" max="7" width="14.81640625" customWidth="1"/>
  </cols>
  <sheetData>
    <row r="1" spans="1:14" x14ac:dyDescent="0.35">
      <c r="A1" s="1" t="s">
        <v>267</v>
      </c>
      <c r="B1" s="3" t="s">
        <v>259</v>
      </c>
      <c r="C1" s="3" t="s">
        <v>260</v>
      </c>
      <c r="D1" s="3" t="s">
        <v>261</v>
      </c>
      <c r="E1" s="3" t="s">
        <v>262</v>
      </c>
      <c r="F1" s="3" t="s">
        <v>265</v>
      </c>
      <c r="G1" s="3" t="s">
        <v>407</v>
      </c>
    </row>
    <row r="2" spans="1:14" x14ac:dyDescent="0.35">
      <c r="A2" s="6" t="s">
        <v>228</v>
      </c>
      <c r="B2" s="7">
        <f>'FY23'!G2</f>
        <v>7074</v>
      </c>
      <c r="C2" s="7">
        <f>'FY24'!L2</f>
        <v>7215</v>
      </c>
      <c r="D2" s="7">
        <f>'FY25'!L2</f>
        <v>7309</v>
      </c>
      <c r="E2" s="7">
        <f>'FY26'!L2</f>
        <v>7404</v>
      </c>
      <c r="F2" s="7">
        <f>'FY27'!L2</f>
        <v>7500</v>
      </c>
      <c r="G2" s="7">
        <f>'FY28'!L2</f>
        <v>7598</v>
      </c>
      <c r="J2" s="121">
        <f>(C2-B2)/C2</f>
        <v>1.9542619542619544E-2</v>
      </c>
      <c r="K2" s="121">
        <f>(D2-C2)/D2</f>
        <v>1.2860856478314408E-2</v>
      </c>
      <c r="L2" s="121">
        <f>(E2-D2)/E2</f>
        <v>1.2830902215018909E-2</v>
      </c>
      <c r="M2" s="121">
        <f>(F2-E2)/F2</f>
        <v>1.2800000000000001E-2</v>
      </c>
      <c r="N2" s="121">
        <f>(G2-F2)/G2</f>
        <v>1.2898131087128192E-2</v>
      </c>
    </row>
    <row r="3" spans="1:14" hidden="1" x14ac:dyDescent="0.35">
      <c r="A3" s="8"/>
      <c r="B3" s="7">
        <f>'FY23'!G3</f>
        <v>0</v>
      </c>
      <c r="C3" s="7">
        <f>'FY24'!R3</f>
        <v>0</v>
      </c>
      <c r="D3" s="7">
        <f>'FY25'!R3</f>
        <v>0</v>
      </c>
      <c r="E3" s="7">
        <f>'FY26'!R3</f>
        <v>0</v>
      </c>
      <c r="F3" s="7">
        <f>'FY27'!R3</f>
        <v>0</v>
      </c>
      <c r="G3" s="7">
        <f>'FY28'!R3</f>
        <v>0</v>
      </c>
    </row>
    <row r="4" spans="1:14" hidden="1" x14ac:dyDescent="0.35">
      <c r="A4" s="8"/>
      <c r="B4" s="7">
        <f>'FY23'!G4</f>
        <v>0</v>
      </c>
      <c r="C4" s="7">
        <f>'FY24'!R4</f>
        <v>0</v>
      </c>
      <c r="D4" s="7">
        <f>'FY25'!R4</f>
        <v>0</v>
      </c>
      <c r="E4" s="7">
        <f>'FY26'!R4</f>
        <v>0</v>
      </c>
      <c r="F4" s="7">
        <f>'FY27'!R4</f>
        <v>0</v>
      </c>
      <c r="G4" s="7">
        <f>'FY28'!R4</f>
        <v>0</v>
      </c>
    </row>
    <row r="5" spans="1:14" x14ac:dyDescent="0.35">
      <c r="A5" s="8" t="s">
        <v>0</v>
      </c>
      <c r="B5" s="9">
        <f>'FY23'!G5</f>
        <v>965</v>
      </c>
      <c r="C5" s="9">
        <f>'FY24'!F5</f>
        <v>996</v>
      </c>
      <c r="D5" s="9">
        <f>'FY25'!F5</f>
        <v>996</v>
      </c>
      <c r="E5" s="9">
        <f>'FY26'!F5</f>
        <v>996</v>
      </c>
      <c r="F5" s="9">
        <f>'FY27'!F5</f>
        <v>996</v>
      </c>
      <c r="G5" s="9">
        <f>'FY28'!F5</f>
        <v>996</v>
      </c>
    </row>
    <row r="6" spans="1:14" x14ac:dyDescent="0.35">
      <c r="A6" s="10" t="s">
        <v>1</v>
      </c>
      <c r="B6" s="9">
        <f>'FY23'!G6</f>
        <v>100</v>
      </c>
      <c r="C6" s="9">
        <f>'FY24'!F6</f>
        <v>100</v>
      </c>
      <c r="D6" s="9">
        <f>'FY25'!F6</f>
        <v>100</v>
      </c>
      <c r="E6" s="9">
        <f>'FY26'!F6</f>
        <v>100</v>
      </c>
      <c r="F6" s="9">
        <f>'FY27'!F6</f>
        <v>100</v>
      </c>
      <c r="G6" s="9">
        <f>'FY28'!F6</f>
        <v>100</v>
      </c>
    </row>
    <row r="7" spans="1:14" x14ac:dyDescent="0.35">
      <c r="A7" s="12" t="s">
        <v>2</v>
      </c>
      <c r="B7" s="9">
        <f>'FY23'!G7</f>
        <v>104</v>
      </c>
      <c r="C7" s="9">
        <f>'FY24'!F7</f>
        <v>104</v>
      </c>
      <c r="D7" s="9">
        <f>'FY25'!F7</f>
        <v>104</v>
      </c>
      <c r="E7" s="9">
        <f>'FY26'!F7</f>
        <v>104</v>
      </c>
      <c r="F7" s="9">
        <f>'FY27'!F7</f>
        <v>104</v>
      </c>
      <c r="G7" s="9">
        <f>'FY28'!F7</f>
        <v>104</v>
      </c>
    </row>
    <row r="8" spans="1:14" x14ac:dyDescent="0.35">
      <c r="A8" s="12" t="s">
        <v>3</v>
      </c>
      <c r="B8" s="9">
        <f>'FY23'!G8</f>
        <v>104</v>
      </c>
      <c r="C8" s="9">
        <f>'FY24'!F8</f>
        <v>104</v>
      </c>
      <c r="D8" s="9">
        <f>'FY25'!F8</f>
        <v>104</v>
      </c>
      <c r="E8" s="9">
        <f>'FY26'!F8</f>
        <v>104</v>
      </c>
      <c r="F8" s="9">
        <f>'FY27'!F8</f>
        <v>104</v>
      </c>
      <c r="G8" s="9">
        <f>'FY28'!F8</f>
        <v>104</v>
      </c>
    </row>
    <row r="9" spans="1:14" x14ac:dyDescent="0.35">
      <c r="A9" s="13" t="s">
        <v>4</v>
      </c>
      <c r="B9" s="9">
        <f>'FY23'!G9</f>
        <v>104</v>
      </c>
      <c r="C9" s="9">
        <f>'FY24'!F9</f>
        <v>104</v>
      </c>
      <c r="D9" s="9">
        <f>'FY25'!F9</f>
        <v>104</v>
      </c>
      <c r="E9" s="9">
        <f>'FY26'!F9</f>
        <v>104</v>
      </c>
      <c r="F9" s="9">
        <f>'FY27'!F9</f>
        <v>104</v>
      </c>
      <c r="G9" s="9">
        <f>'FY28'!F9</f>
        <v>104</v>
      </c>
    </row>
    <row r="10" spans="1:14" x14ac:dyDescent="0.35">
      <c r="A10" s="13" t="s">
        <v>5</v>
      </c>
      <c r="B10" s="9">
        <f>'FY23'!G10</f>
        <v>104</v>
      </c>
      <c r="C10" s="9">
        <f>'FY24'!F10</f>
        <v>104</v>
      </c>
      <c r="D10" s="9">
        <f>'FY25'!F10</f>
        <v>104</v>
      </c>
      <c r="E10" s="9">
        <f>'FY26'!F10</f>
        <v>104</v>
      </c>
      <c r="F10" s="9">
        <f>'FY27'!F10</f>
        <v>104</v>
      </c>
      <c r="G10" s="9">
        <f>'FY28'!F10</f>
        <v>104</v>
      </c>
    </row>
    <row r="11" spans="1:14" x14ac:dyDescent="0.35">
      <c r="A11" s="13" t="s">
        <v>6</v>
      </c>
      <c r="B11" s="9">
        <f>'FY23'!G11</f>
        <v>108</v>
      </c>
      <c r="C11" s="9">
        <f>'FY24'!F11</f>
        <v>108</v>
      </c>
      <c r="D11" s="9">
        <f>'FY25'!F11</f>
        <v>108</v>
      </c>
      <c r="E11" s="9">
        <f>'FY26'!F11</f>
        <v>108</v>
      </c>
      <c r="F11" s="9">
        <f>'FY27'!F11</f>
        <v>108</v>
      </c>
      <c r="G11" s="9">
        <f>'FY28'!F11</f>
        <v>108</v>
      </c>
    </row>
    <row r="12" spans="1:14" x14ac:dyDescent="0.35">
      <c r="A12" s="13" t="s">
        <v>7</v>
      </c>
      <c r="B12" s="9">
        <f>'FY23'!G12</f>
        <v>124</v>
      </c>
      <c r="C12" s="9">
        <f>'FY24'!F12</f>
        <v>124</v>
      </c>
      <c r="D12" s="9">
        <f>'FY25'!F12</f>
        <v>124</v>
      </c>
      <c r="E12" s="9">
        <f>'FY26'!F12</f>
        <v>124</v>
      </c>
      <c r="F12" s="9">
        <f>'FY27'!F12</f>
        <v>124</v>
      </c>
      <c r="G12" s="9">
        <f>'FY28'!F12</f>
        <v>124</v>
      </c>
    </row>
    <row r="13" spans="1:14" x14ac:dyDescent="0.35">
      <c r="A13" s="13" t="s">
        <v>8</v>
      </c>
      <c r="B13" s="9">
        <f>'FY23'!G13</f>
        <v>124</v>
      </c>
      <c r="C13" s="9">
        <f>'FY24'!F13</f>
        <v>124</v>
      </c>
      <c r="D13" s="9">
        <f>'FY25'!F13</f>
        <v>124</v>
      </c>
      <c r="E13" s="9">
        <f>'FY26'!F13</f>
        <v>124</v>
      </c>
      <c r="F13" s="9">
        <f>'FY27'!F13</f>
        <v>124</v>
      </c>
      <c r="G13" s="9">
        <f>'FY28'!F13</f>
        <v>124</v>
      </c>
    </row>
    <row r="14" spans="1:14" x14ac:dyDescent="0.35">
      <c r="A14" s="13" t="s">
        <v>9</v>
      </c>
      <c r="B14" s="9">
        <f>'FY23'!G14</f>
        <v>93</v>
      </c>
      <c r="C14" s="9">
        <f>'FY24'!F14</f>
        <v>124</v>
      </c>
      <c r="D14" s="9">
        <f>'FY25'!F14</f>
        <v>124</v>
      </c>
      <c r="E14" s="9">
        <f>'FY26'!F14</f>
        <v>124</v>
      </c>
      <c r="F14" s="9">
        <f>'FY27'!F14</f>
        <v>124</v>
      </c>
      <c r="G14" s="9">
        <f>'FY28'!F14</f>
        <v>124</v>
      </c>
    </row>
    <row r="15" spans="1:14" x14ac:dyDescent="0.35">
      <c r="A15" s="13" t="s">
        <v>10</v>
      </c>
      <c r="B15" s="9">
        <f>'FY23'!G15</f>
        <v>0</v>
      </c>
      <c r="C15" s="9">
        <f>'FY24'!F15</f>
        <v>0</v>
      </c>
      <c r="D15" s="9">
        <f>'FY25'!F15</f>
        <v>0</v>
      </c>
      <c r="E15" s="9">
        <f>'FY26'!F15</f>
        <v>0</v>
      </c>
      <c r="F15" s="9">
        <f>'FY27'!F15</f>
        <v>0</v>
      </c>
      <c r="G15" s="9">
        <f>'FY28'!F15</f>
        <v>0</v>
      </c>
    </row>
    <row r="16" spans="1:14" x14ac:dyDescent="0.35">
      <c r="A16" s="13" t="s">
        <v>11</v>
      </c>
      <c r="B16" s="9">
        <f>'FY23'!G16</f>
        <v>0</v>
      </c>
      <c r="C16" s="9">
        <f>'FY24'!F16</f>
        <v>0</v>
      </c>
      <c r="D16" s="9">
        <f>'FY25'!F16</f>
        <v>0</v>
      </c>
      <c r="E16" s="9">
        <f>'FY26'!F16</f>
        <v>0</v>
      </c>
      <c r="F16" s="9">
        <f>'FY27'!F16</f>
        <v>0</v>
      </c>
      <c r="G16" s="9">
        <f>'FY28'!F16</f>
        <v>0</v>
      </c>
    </row>
    <row r="17" spans="1:7" x14ac:dyDescent="0.35">
      <c r="A17" s="13" t="s">
        <v>12</v>
      </c>
      <c r="B17" s="9">
        <f>'FY23'!G17</f>
        <v>0</v>
      </c>
      <c r="C17" s="9">
        <f>'FY24'!F17</f>
        <v>0</v>
      </c>
      <c r="D17" s="9">
        <f>'FY25'!F17</f>
        <v>0</v>
      </c>
      <c r="E17" s="9">
        <f>'FY26'!F17</f>
        <v>0</v>
      </c>
      <c r="F17" s="9">
        <f>'FY27'!F17</f>
        <v>0</v>
      </c>
      <c r="G17" s="9">
        <f>'FY28'!F17</f>
        <v>0</v>
      </c>
    </row>
    <row r="18" spans="1:7" x14ac:dyDescent="0.35">
      <c r="A18" s="13" t="s">
        <v>13</v>
      </c>
      <c r="B18" s="9">
        <f>'FY23'!G18</f>
        <v>0</v>
      </c>
      <c r="C18" s="9">
        <f>'FY24'!F18</f>
        <v>0</v>
      </c>
      <c r="D18" s="9">
        <f>'FY25'!F18</f>
        <v>0</v>
      </c>
      <c r="E18" s="9">
        <f>'FY26'!F18</f>
        <v>0</v>
      </c>
      <c r="F18" s="9">
        <f>'FY27'!F18</f>
        <v>0</v>
      </c>
      <c r="G18" s="9">
        <f>'FY28'!F18</f>
        <v>0</v>
      </c>
    </row>
    <row r="19" spans="1:7" x14ac:dyDescent="0.35">
      <c r="A19" s="13" t="s">
        <v>0</v>
      </c>
      <c r="B19" s="9">
        <f>'FY23'!G19</f>
        <v>965</v>
      </c>
      <c r="C19" s="9">
        <f>'FY24'!F19</f>
        <v>996</v>
      </c>
      <c r="D19" s="9">
        <f>'FY25'!F19</f>
        <v>996</v>
      </c>
      <c r="E19" s="9">
        <f>'FY26'!F19</f>
        <v>996</v>
      </c>
      <c r="F19" s="9">
        <f>'FY27'!F19</f>
        <v>996</v>
      </c>
      <c r="G19" s="9">
        <f>'FY28'!F19</f>
        <v>996</v>
      </c>
    </row>
    <row r="20" spans="1:7" x14ac:dyDescent="0.35">
      <c r="A20" s="16"/>
      <c r="B20" s="7"/>
      <c r="C20" s="7"/>
      <c r="D20" s="7"/>
      <c r="E20" s="7"/>
      <c r="F20" s="7"/>
      <c r="G20" s="7"/>
    </row>
    <row r="21" spans="1:7" x14ac:dyDescent="0.35">
      <c r="A21" s="17" t="s">
        <v>14</v>
      </c>
      <c r="B21" s="18"/>
      <c r="C21" s="18"/>
      <c r="D21" s="18"/>
      <c r="E21" s="18"/>
      <c r="F21" s="18"/>
      <c r="G21" s="18"/>
    </row>
    <row r="22" spans="1:7" x14ac:dyDescent="0.35">
      <c r="A22" s="144" t="s">
        <v>207</v>
      </c>
      <c r="B22" s="94">
        <f>'FY23'!G22</f>
        <v>100</v>
      </c>
      <c r="C22" s="94">
        <f>'FY24'!F22</f>
        <v>108</v>
      </c>
      <c r="D22" s="94">
        <f>'FY25'!F22</f>
        <v>108</v>
      </c>
      <c r="E22" s="94">
        <f>'FY26'!F22</f>
        <v>108</v>
      </c>
      <c r="F22" s="94">
        <f>'FY27'!F22</f>
        <v>108</v>
      </c>
      <c r="G22" s="94">
        <f>'FY28'!F22</f>
        <v>108</v>
      </c>
    </row>
    <row r="23" spans="1:7" x14ac:dyDescent="0.35">
      <c r="A23" s="144" t="s">
        <v>208</v>
      </c>
      <c r="B23" s="94">
        <f>'FY23'!G23</f>
        <v>6</v>
      </c>
      <c r="C23" s="94">
        <f>'FY24'!F23</f>
        <v>3</v>
      </c>
      <c r="D23" s="94">
        <f>'FY25'!F23</f>
        <v>3</v>
      </c>
      <c r="E23" s="94">
        <f>'FY26'!F23</f>
        <v>3</v>
      </c>
      <c r="F23" s="94">
        <f>'FY27'!F23</f>
        <v>3</v>
      </c>
      <c r="G23" s="94">
        <f>'FY28'!F23</f>
        <v>3</v>
      </c>
    </row>
    <row r="24" spans="1:7" x14ac:dyDescent="0.35">
      <c r="A24" s="144" t="s">
        <v>209</v>
      </c>
      <c r="B24" s="94">
        <f>'FY23'!G24</f>
        <v>61</v>
      </c>
      <c r="C24" s="94">
        <f>'FY24'!F24</f>
        <v>53</v>
      </c>
      <c r="D24" s="94">
        <f>'FY25'!F24</f>
        <v>53</v>
      </c>
      <c r="E24" s="94">
        <f>'FY26'!F24</f>
        <v>53</v>
      </c>
      <c r="F24" s="94">
        <f>'FY27'!F24</f>
        <v>53</v>
      </c>
      <c r="G24" s="94">
        <f>'FY28'!F24</f>
        <v>53</v>
      </c>
    </row>
    <row r="25" spans="1:7" x14ac:dyDescent="0.35">
      <c r="A25" s="144" t="s">
        <v>16</v>
      </c>
      <c r="B25" s="203">
        <f>'FY23'!G25</f>
        <v>6.4899999999999999E-2</v>
      </c>
      <c r="C25" s="203">
        <f>'FY24'!F25</f>
        <v>0.1</v>
      </c>
      <c r="D25" s="203">
        <f>'FY25'!F25</f>
        <v>0.1</v>
      </c>
      <c r="E25" s="203">
        <f>'FY26'!F25</f>
        <v>0.1</v>
      </c>
      <c r="F25" s="203">
        <f>'FY27'!F25</f>
        <v>0.1</v>
      </c>
      <c r="G25" s="203">
        <f>'FY28'!F25</f>
        <v>0.1</v>
      </c>
    </row>
    <row r="26" spans="1:7" x14ac:dyDescent="0.35">
      <c r="A26" s="144" t="s">
        <v>210</v>
      </c>
      <c r="B26" s="94">
        <f>'FY23'!G26</f>
        <v>43</v>
      </c>
      <c r="C26" s="94">
        <f>'FY24'!F26</f>
        <v>55</v>
      </c>
      <c r="D26" s="94">
        <f>'FY25'!F26</f>
        <v>55</v>
      </c>
      <c r="E26" s="94">
        <f>'FY26'!F26</f>
        <v>55</v>
      </c>
      <c r="F26" s="94">
        <f>'FY27'!F26</f>
        <v>55</v>
      </c>
      <c r="G26" s="94">
        <f>'FY28'!F26</f>
        <v>55</v>
      </c>
    </row>
    <row r="27" spans="1:7" x14ac:dyDescent="0.35">
      <c r="A27" s="20"/>
      <c r="B27" s="94"/>
      <c r="C27" s="94">
        <f>'FY24'!R27</f>
        <v>0</v>
      </c>
      <c r="D27" s="94">
        <f>'FY25'!R27</f>
        <v>0</v>
      </c>
      <c r="E27" s="94">
        <f>'FY26'!R27</f>
        <v>0</v>
      </c>
      <c r="F27" s="94">
        <f>'FY27'!R27</f>
        <v>0</v>
      </c>
      <c r="G27" s="94">
        <f>'FY28'!R27</f>
        <v>0</v>
      </c>
    </row>
    <row r="28" spans="1:7" x14ac:dyDescent="0.35">
      <c r="A28" s="17" t="s">
        <v>17</v>
      </c>
      <c r="B28" s="18"/>
      <c r="C28" s="18"/>
      <c r="D28" s="18"/>
      <c r="E28" s="18"/>
      <c r="F28" s="18"/>
      <c r="G28" s="18"/>
    </row>
    <row r="29" spans="1:7" x14ac:dyDescent="0.35">
      <c r="A29" s="21" t="s">
        <v>18</v>
      </c>
      <c r="B29" s="157">
        <f>'FY23'!G29</f>
        <v>35</v>
      </c>
      <c r="C29" s="157">
        <f>'FY24'!F29</f>
        <v>36</v>
      </c>
      <c r="D29" s="157">
        <f>'FY25'!F29</f>
        <v>36</v>
      </c>
      <c r="E29" s="157">
        <f>'FY26'!F29</f>
        <v>36</v>
      </c>
      <c r="F29" s="157">
        <f>'FY27'!F29</f>
        <v>36</v>
      </c>
      <c r="G29" s="157">
        <f>'FY28'!F29</f>
        <v>36</v>
      </c>
    </row>
    <row r="30" spans="1:7" x14ac:dyDescent="0.35">
      <c r="A30" s="21" t="s">
        <v>19</v>
      </c>
      <c r="B30" s="157">
        <f>'FY23'!G30</f>
        <v>3</v>
      </c>
      <c r="C30" s="157">
        <f>'FY24'!F30</f>
        <v>3.5</v>
      </c>
      <c r="D30" s="157">
        <f>'FY25'!F30</f>
        <v>3.5</v>
      </c>
      <c r="E30" s="157">
        <f>'FY26'!F30</f>
        <v>3.5</v>
      </c>
      <c r="F30" s="157">
        <f>'FY27'!F30</f>
        <v>3.5</v>
      </c>
      <c r="G30" s="157">
        <f>'FY28'!F30</f>
        <v>3.5</v>
      </c>
    </row>
    <row r="31" spans="1:7" x14ac:dyDescent="0.35">
      <c r="A31" s="21" t="s">
        <v>20</v>
      </c>
      <c r="B31" s="157">
        <f>'FY23'!G31</f>
        <v>2</v>
      </c>
      <c r="C31" s="157">
        <f>'FY24'!F31</f>
        <v>2</v>
      </c>
      <c r="D31" s="157">
        <f>'FY25'!F31</f>
        <v>2</v>
      </c>
      <c r="E31" s="157">
        <f>'FY26'!F31</f>
        <v>2</v>
      </c>
      <c r="F31" s="157">
        <f>'FY27'!F31</f>
        <v>2</v>
      </c>
      <c r="G31" s="157">
        <f>'FY28'!F31</f>
        <v>2</v>
      </c>
    </row>
    <row r="32" spans="1:7" x14ac:dyDescent="0.35">
      <c r="A32" s="21" t="s">
        <v>21</v>
      </c>
      <c r="B32" s="157">
        <f>'FY23'!G32</f>
        <v>1</v>
      </c>
      <c r="C32" s="157">
        <f>'FY24'!F32</f>
        <v>1</v>
      </c>
      <c r="D32" s="157">
        <f>'FY25'!F32</f>
        <v>1</v>
      </c>
      <c r="E32" s="157">
        <f>'FY26'!F32</f>
        <v>1</v>
      </c>
      <c r="F32" s="157">
        <f>'FY27'!F32</f>
        <v>1</v>
      </c>
      <c r="G32" s="157">
        <f>'FY28'!F32</f>
        <v>1</v>
      </c>
    </row>
    <row r="33" spans="1:7" x14ac:dyDescent="0.35">
      <c r="A33" s="21" t="s">
        <v>22</v>
      </c>
      <c r="B33" s="157">
        <f>'FY23'!G33</f>
        <v>1</v>
      </c>
      <c r="C33" s="157">
        <f>'FY24'!F33</f>
        <v>1</v>
      </c>
      <c r="D33" s="157">
        <f>'FY25'!F33</f>
        <v>1</v>
      </c>
      <c r="E33" s="157">
        <f>'FY26'!F33</f>
        <v>1</v>
      </c>
      <c r="F33" s="157">
        <f>'FY27'!F33</f>
        <v>1</v>
      </c>
      <c r="G33" s="157">
        <f>'FY28'!F33</f>
        <v>1</v>
      </c>
    </row>
    <row r="34" spans="1:7" x14ac:dyDescent="0.35">
      <c r="A34" s="24" t="s">
        <v>23</v>
      </c>
      <c r="B34" s="157">
        <f>'FY23'!G34</f>
        <v>0</v>
      </c>
      <c r="C34" s="157">
        <f>'FY24'!F34</f>
        <v>0</v>
      </c>
      <c r="D34" s="157">
        <f>'FY25'!F34</f>
        <v>0</v>
      </c>
      <c r="E34" s="157">
        <f>'FY26'!F34</f>
        <v>0</v>
      </c>
      <c r="F34" s="157">
        <f>'FY27'!F34</f>
        <v>0</v>
      </c>
      <c r="G34" s="157">
        <f>'FY28'!F34</f>
        <v>0</v>
      </c>
    </row>
    <row r="35" spans="1:7" x14ac:dyDescent="0.35">
      <c r="A35" s="27" t="s">
        <v>24</v>
      </c>
      <c r="B35" s="157">
        <f>'FY23'!G35</f>
        <v>0</v>
      </c>
      <c r="C35" s="157">
        <f>'FY24'!F35</f>
        <v>0</v>
      </c>
      <c r="D35" s="157">
        <f>'FY25'!F35</f>
        <v>0</v>
      </c>
      <c r="E35" s="157">
        <f>'FY26'!F35</f>
        <v>0</v>
      </c>
      <c r="F35" s="157">
        <f>'FY27'!F35</f>
        <v>0</v>
      </c>
      <c r="G35" s="157">
        <f>'FY28'!F35</f>
        <v>0</v>
      </c>
    </row>
    <row r="36" spans="1:7" x14ac:dyDescent="0.35">
      <c r="A36" s="28" t="s">
        <v>25</v>
      </c>
      <c r="B36" s="157">
        <f>'FY23'!G36</f>
        <v>0</v>
      </c>
      <c r="C36" s="157">
        <f>'FY24'!F36</f>
        <v>0</v>
      </c>
      <c r="D36" s="157">
        <f>'FY25'!F36</f>
        <v>0</v>
      </c>
      <c r="E36" s="157">
        <f>'FY26'!F36</f>
        <v>0</v>
      </c>
      <c r="F36" s="157">
        <f>'FY27'!F36</f>
        <v>0</v>
      </c>
      <c r="G36" s="157">
        <f>'FY28'!F36</f>
        <v>0</v>
      </c>
    </row>
    <row r="37" spans="1:7" x14ac:dyDescent="0.35">
      <c r="A37" s="27" t="s">
        <v>26</v>
      </c>
      <c r="B37" s="157">
        <f>'FY23'!G37</f>
        <v>1</v>
      </c>
      <c r="C37" s="157">
        <f>'FY24'!F37</f>
        <v>1</v>
      </c>
      <c r="D37" s="157">
        <f>'FY25'!F37</f>
        <v>1</v>
      </c>
      <c r="E37" s="157">
        <f>'FY26'!F37</f>
        <v>1</v>
      </c>
      <c r="F37" s="157">
        <f>'FY27'!F37</f>
        <v>1</v>
      </c>
      <c r="G37" s="157">
        <f>'FY28'!F37</f>
        <v>1</v>
      </c>
    </row>
    <row r="38" spans="1:7" x14ac:dyDescent="0.35">
      <c r="A38" s="27" t="s">
        <v>27</v>
      </c>
      <c r="B38" s="157">
        <f>'FY23'!G38</f>
        <v>0.5</v>
      </c>
      <c r="C38" s="157">
        <f>'FY24'!F38</f>
        <v>1</v>
      </c>
      <c r="D38" s="157">
        <f>'FY25'!F38</f>
        <v>1</v>
      </c>
      <c r="E38" s="157">
        <f>'FY26'!F38</f>
        <v>1</v>
      </c>
      <c r="F38" s="157">
        <f>'FY27'!F38</f>
        <v>1</v>
      </c>
      <c r="G38" s="157">
        <f>'FY28'!F38</f>
        <v>1</v>
      </c>
    </row>
    <row r="39" spans="1:7" x14ac:dyDescent="0.35">
      <c r="A39" s="29" t="s">
        <v>28</v>
      </c>
      <c r="B39" s="30">
        <f t="shared" ref="B39:G39" si="0">SUM(B29:B38)</f>
        <v>43.5</v>
      </c>
      <c r="C39" s="30">
        <f t="shared" si="0"/>
        <v>45.5</v>
      </c>
      <c r="D39" s="30">
        <f t="shared" si="0"/>
        <v>45.5</v>
      </c>
      <c r="E39" s="30">
        <f t="shared" si="0"/>
        <v>45.5</v>
      </c>
      <c r="F39" s="30">
        <f t="shared" si="0"/>
        <v>45.5</v>
      </c>
      <c r="G39" s="30">
        <f t="shared" si="0"/>
        <v>45.5</v>
      </c>
    </row>
    <row r="40" spans="1:7" x14ac:dyDescent="0.35">
      <c r="A40" s="31"/>
      <c r="B40" s="23"/>
      <c r="C40" s="23"/>
      <c r="D40" s="23"/>
      <c r="E40" s="23"/>
      <c r="F40" s="23"/>
      <c r="G40" s="23"/>
    </row>
    <row r="41" spans="1:7" x14ac:dyDescent="0.35">
      <c r="A41" s="17" t="s">
        <v>29</v>
      </c>
      <c r="B41" s="32"/>
      <c r="C41" s="32"/>
      <c r="D41" s="32"/>
      <c r="E41" s="32"/>
      <c r="F41" s="32"/>
      <c r="G41" s="32"/>
    </row>
    <row r="42" spans="1:7" x14ac:dyDescent="0.35">
      <c r="A42" s="21" t="s">
        <v>30</v>
      </c>
      <c r="B42" s="157">
        <f>'FY23'!G42</f>
        <v>1</v>
      </c>
      <c r="C42" s="157">
        <f>'FY24'!F42</f>
        <v>1</v>
      </c>
      <c r="D42" s="157">
        <f>'FY25'!F42</f>
        <v>1</v>
      </c>
      <c r="E42" s="157">
        <f>'FY26'!F42</f>
        <v>1</v>
      </c>
      <c r="F42" s="157">
        <f>'FY27'!F42</f>
        <v>1</v>
      </c>
      <c r="G42" s="157">
        <f>'FY28'!F42</f>
        <v>1</v>
      </c>
    </row>
    <row r="43" spans="1:7" x14ac:dyDescent="0.35">
      <c r="A43" s="21" t="s">
        <v>31</v>
      </c>
      <c r="B43" s="157">
        <f>'FY23'!G43</f>
        <v>1</v>
      </c>
      <c r="C43" s="157">
        <f>'FY24'!F43</f>
        <v>2</v>
      </c>
      <c r="D43" s="157">
        <f>'FY25'!F43</f>
        <v>2</v>
      </c>
      <c r="E43" s="157">
        <f>'FY26'!F43</f>
        <v>2</v>
      </c>
      <c r="F43" s="157">
        <f>'FY27'!F43</f>
        <v>2</v>
      </c>
      <c r="G43" s="157">
        <f>'FY28'!F43</f>
        <v>2</v>
      </c>
    </row>
    <row r="44" spans="1:7" x14ac:dyDescent="0.35">
      <c r="A44" s="34" t="s">
        <v>234</v>
      </c>
      <c r="B44" s="157">
        <f>'FY23'!G44</f>
        <v>1</v>
      </c>
      <c r="C44" s="157">
        <f>'FY24'!F44</f>
        <v>1</v>
      </c>
      <c r="D44" s="157">
        <f>'FY25'!F44</f>
        <v>1</v>
      </c>
      <c r="E44" s="157">
        <f>'FY26'!F44</f>
        <v>1</v>
      </c>
      <c r="F44" s="157">
        <f>'FY27'!F44</f>
        <v>1</v>
      </c>
      <c r="G44" s="157">
        <f>'FY28'!F44</f>
        <v>1</v>
      </c>
    </row>
    <row r="45" spans="1:7" x14ac:dyDescent="0.35">
      <c r="A45" s="34" t="s">
        <v>252</v>
      </c>
      <c r="B45" s="157">
        <f>'FY23'!G45</f>
        <v>0</v>
      </c>
      <c r="C45" s="157">
        <f>'FY24'!F45</f>
        <v>0</v>
      </c>
      <c r="D45" s="157">
        <f>'FY25'!F45</f>
        <v>0</v>
      </c>
      <c r="E45" s="157">
        <f>'FY26'!F45</f>
        <v>0</v>
      </c>
      <c r="F45" s="157">
        <f>'FY27'!F45</f>
        <v>0</v>
      </c>
      <c r="G45" s="157">
        <f>'FY28'!F45</f>
        <v>0</v>
      </c>
    </row>
    <row r="46" spans="1:7" x14ac:dyDescent="0.35">
      <c r="A46" s="33" t="s">
        <v>32</v>
      </c>
      <c r="B46" s="157">
        <f>'FY23'!G46</f>
        <v>1</v>
      </c>
      <c r="C46" s="157">
        <f>'FY24'!F46</f>
        <v>1</v>
      </c>
      <c r="D46" s="157">
        <f>'FY25'!F46</f>
        <v>1</v>
      </c>
      <c r="E46" s="157">
        <f>'FY26'!F46</f>
        <v>1</v>
      </c>
      <c r="F46" s="157">
        <f>'FY27'!F46</f>
        <v>1</v>
      </c>
      <c r="G46" s="157">
        <f>'FY28'!F46</f>
        <v>1</v>
      </c>
    </row>
    <row r="47" spans="1:7" x14ac:dyDescent="0.35">
      <c r="A47" s="33" t="s">
        <v>33</v>
      </c>
      <c r="B47" s="157">
        <f>'FY23'!G47</f>
        <v>1</v>
      </c>
      <c r="C47" s="157">
        <f>'FY24'!F47</f>
        <v>1</v>
      </c>
      <c r="D47" s="157">
        <f>'FY25'!F47</f>
        <v>1</v>
      </c>
      <c r="E47" s="157">
        <f>'FY26'!F47</f>
        <v>1</v>
      </c>
      <c r="F47" s="157">
        <f>'FY27'!F47</f>
        <v>1</v>
      </c>
      <c r="G47" s="157">
        <f>'FY28'!F47</f>
        <v>1</v>
      </c>
    </row>
    <row r="48" spans="1:7" x14ac:dyDescent="0.35">
      <c r="A48" s="21" t="s">
        <v>230</v>
      </c>
      <c r="B48" s="157">
        <f>'FY23'!G48</f>
        <v>2</v>
      </c>
      <c r="C48" s="157">
        <f>'FY24'!F48</f>
        <v>2</v>
      </c>
      <c r="D48" s="157">
        <f>'FY25'!F48</f>
        <v>2</v>
      </c>
      <c r="E48" s="157">
        <f>'FY26'!F48</f>
        <v>2</v>
      </c>
      <c r="F48" s="157">
        <f>'FY27'!F48</f>
        <v>2</v>
      </c>
      <c r="G48" s="157">
        <f>'FY28'!F48</f>
        <v>2</v>
      </c>
    </row>
    <row r="49" spans="1:7" x14ac:dyDescent="0.35">
      <c r="A49" s="21" t="s">
        <v>34</v>
      </c>
      <c r="B49" s="157">
        <f>'FY23'!G49</f>
        <v>1</v>
      </c>
      <c r="C49" s="157">
        <f>'FY24'!F49</f>
        <v>1</v>
      </c>
      <c r="D49" s="157">
        <f>'FY25'!F49</f>
        <v>1</v>
      </c>
      <c r="E49" s="157">
        <f>'FY26'!F49</f>
        <v>1</v>
      </c>
      <c r="F49" s="157">
        <f>'FY27'!F49</f>
        <v>1</v>
      </c>
      <c r="G49" s="157">
        <f>'FY28'!F49</f>
        <v>1</v>
      </c>
    </row>
    <row r="50" spans="1:7" x14ac:dyDescent="0.35">
      <c r="A50" s="21" t="s">
        <v>35</v>
      </c>
      <c r="B50" s="157">
        <f>'FY23'!G50</f>
        <v>1</v>
      </c>
      <c r="C50" s="157">
        <f>'FY24'!F50</f>
        <v>1</v>
      </c>
      <c r="D50" s="157">
        <f>'FY25'!F50</f>
        <v>1</v>
      </c>
      <c r="E50" s="157">
        <f>'FY26'!F50</f>
        <v>1</v>
      </c>
      <c r="F50" s="157">
        <f>'FY27'!F50</f>
        <v>1</v>
      </c>
      <c r="G50" s="157">
        <f>'FY28'!F50</f>
        <v>1</v>
      </c>
    </row>
    <row r="51" spans="1:7" x14ac:dyDescent="0.35">
      <c r="A51" s="21" t="s">
        <v>36</v>
      </c>
      <c r="B51" s="157">
        <f>'FY23'!G51</f>
        <v>1</v>
      </c>
      <c r="C51" s="157">
        <f>'FY24'!F51</f>
        <v>1</v>
      </c>
      <c r="D51" s="157">
        <f>'FY25'!F51</f>
        <v>1</v>
      </c>
      <c r="E51" s="157">
        <f>'FY26'!F51</f>
        <v>1</v>
      </c>
      <c r="F51" s="157">
        <f>'FY27'!F51</f>
        <v>1</v>
      </c>
      <c r="G51" s="157">
        <f>'FY28'!F51</f>
        <v>1</v>
      </c>
    </row>
    <row r="52" spans="1:7" x14ac:dyDescent="0.35">
      <c r="A52" s="21" t="s">
        <v>206</v>
      </c>
      <c r="B52" s="157">
        <f>'FY23'!G52</f>
        <v>7</v>
      </c>
      <c r="C52" s="157">
        <f>'FY24'!F52</f>
        <v>7</v>
      </c>
      <c r="D52" s="157">
        <f>'FY25'!F52</f>
        <v>7</v>
      </c>
      <c r="E52" s="157">
        <f>'FY26'!F52</f>
        <v>7</v>
      </c>
      <c r="F52" s="157">
        <f>'FY27'!F52</f>
        <v>7</v>
      </c>
      <c r="G52" s="157">
        <f>'FY28'!F52</f>
        <v>7</v>
      </c>
    </row>
    <row r="53" spans="1:7" x14ac:dyDescent="0.35">
      <c r="A53" s="21" t="s">
        <v>37</v>
      </c>
      <c r="B53" s="157">
        <f>'FY23'!G53</f>
        <v>1</v>
      </c>
      <c r="C53" s="157">
        <f>'FY24'!F53</f>
        <v>1</v>
      </c>
      <c r="D53" s="157">
        <f>'FY25'!F53</f>
        <v>1</v>
      </c>
      <c r="E53" s="157">
        <f>'FY26'!F53</f>
        <v>1</v>
      </c>
      <c r="F53" s="157">
        <f>'FY27'!F53</f>
        <v>1</v>
      </c>
      <c r="G53" s="157">
        <f>'FY28'!F53</f>
        <v>1</v>
      </c>
    </row>
    <row r="54" spans="1:7" x14ac:dyDescent="0.35">
      <c r="A54" s="21" t="s">
        <v>38</v>
      </c>
      <c r="B54" s="157">
        <f>'FY23'!G54</f>
        <v>1</v>
      </c>
      <c r="C54" s="157">
        <f>'FY24'!F54</f>
        <v>1</v>
      </c>
      <c r="D54" s="157">
        <f>'FY25'!F54</f>
        <v>1</v>
      </c>
      <c r="E54" s="157">
        <f>'FY26'!F54</f>
        <v>1</v>
      </c>
      <c r="F54" s="157">
        <f>'FY27'!F54</f>
        <v>1</v>
      </c>
      <c r="G54" s="157">
        <f>'FY28'!F54</f>
        <v>1</v>
      </c>
    </row>
    <row r="55" spans="1:7" x14ac:dyDescent="0.35">
      <c r="A55" s="21" t="s">
        <v>223</v>
      </c>
      <c r="B55" s="157">
        <f>'FY23'!G55</f>
        <v>0</v>
      </c>
      <c r="C55" s="157">
        <f>'FY24'!F55</f>
        <v>0</v>
      </c>
      <c r="D55" s="157">
        <f>'FY25'!F55</f>
        <v>0</v>
      </c>
      <c r="E55" s="157">
        <f>'FY26'!F55</f>
        <v>0</v>
      </c>
      <c r="F55" s="157">
        <f>'FY27'!F55</f>
        <v>0</v>
      </c>
      <c r="G55" s="157">
        <f>'FY28'!F55</f>
        <v>0</v>
      </c>
    </row>
    <row r="56" spans="1:7" x14ac:dyDescent="0.35">
      <c r="A56" s="34" t="s">
        <v>39</v>
      </c>
      <c r="B56" s="157">
        <f>'FY23'!G56</f>
        <v>0</v>
      </c>
      <c r="C56" s="157">
        <f>'FY24'!F56</f>
        <v>0</v>
      </c>
      <c r="D56" s="157">
        <f>'FY25'!F56</f>
        <v>0</v>
      </c>
      <c r="E56" s="157">
        <f>'FY26'!F56</f>
        <v>0</v>
      </c>
      <c r="F56" s="157">
        <f>'FY27'!F56</f>
        <v>0</v>
      </c>
      <c r="G56" s="157">
        <f>'FY28'!F56</f>
        <v>0</v>
      </c>
    </row>
    <row r="57" spans="1:7" x14ac:dyDescent="0.35">
      <c r="A57" s="34" t="s">
        <v>40</v>
      </c>
      <c r="B57" s="157">
        <f>'FY23'!G57</f>
        <v>1</v>
      </c>
      <c r="C57" s="157">
        <f>'FY24'!F57</f>
        <v>1</v>
      </c>
      <c r="D57" s="157">
        <f>'FY25'!F57</f>
        <v>1</v>
      </c>
      <c r="E57" s="157">
        <f>'FY26'!F57</f>
        <v>1</v>
      </c>
      <c r="F57" s="157">
        <f>'FY27'!F57</f>
        <v>1</v>
      </c>
      <c r="G57" s="157">
        <f>'FY28'!F57</f>
        <v>1</v>
      </c>
    </row>
    <row r="58" spans="1:7" x14ac:dyDescent="0.35">
      <c r="A58" s="34" t="s">
        <v>41</v>
      </c>
      <c r="B58" s="157">
        <f>'FY23'!G58</f>
        <v>0</v>
      </c>
      <c r="C58" s="157">
        <f>'FY24'!F58</f>
        <v>0</v>
      </c>
      <c r="D58" s="157">
        <f>'FY25'!F58</f>
        <v>0</v>
      </c>
      <c r="E58" s="157">
        <f>'FY26'!F58</f>
        <v>0</v>
      </c>
      <c r="F58" s="157">
        <f>'FY27'!F58</f>
        <v>0</v>
      </c>
      <c r="G58" s="157">
        <f>'FY28'!F58</f>
        <v>0</v>
      </c>
    </row>
    <row r="59" spans="1:7" x14ac:dyDescent="0.35">
      <c r="A59" s="34" t="s">
        <v>42</v>
      </c>
      <c r="B59" s="157">
        <f>'FY23'!G59</f>
        <v>0</v>
      </c>
      <c r="C59" s="157">
        <f>'FY24'!F59</f>
        <v>0</v>
      </c>
      <c r="D59" s="157">
        <f>'FY25'!F59</f>
        <v>0</v>
      </c>
      <c r="E59" s="157">
        <f>'FY26'!F59</f>
        <v>0</v>
      </c>
      <c r="F59" s="157">
        <f>'FY27'!F59</f>
        <v>0</v>
      </c>
      <c r="G59" s="157">
        <f>'FY28'!F59</f>
        <v>0</v>
      </c>
    </row>
    <row r="60" spans="1:7" x14ac:dyDescent="0.35">
      <c r="A60" s="34" t="s">
        <v>43</v>
      </c>
      <c r="B60" s="157">
        <f>'FY23'!G60</f>
        <v>0</v>
      </c>
      <c r="C60" s="157">
        <f>'FY24'!F60</f>
        <v>0</v>
      </c>
      <c r="D60" s="157">
        <f>'FY25'!F60</f>
        <v>0</v>
      </c>
      <c r="E60" s="157">
        <f>'FY26'!F60</f>
        <v>0</v>
      </c>
      <c r="F60" s="157">
        <f>'FY27'!F60</f>
        <v>0</v>
      </c>
      <c r="G60" s="157">
        <f>'FY28'!F60</f>
        <v>0</v>
      </c>
    </row>
    <row r="61" spans="1:7" x14ac:dyDescent="0.35">
      <c r="A61" s="34" t="s">
        <v>44</v>
      </c>
      <c r="B61" s="157">
        <f>'FY23'!G61</f>
        <v>1</v>
      </c>
      <c r="C61" s="157">
        <f>'FY24'!F61</f>
        <v>1</v>
      </c>
      <c r="D61" s="157">
        <f>'FY25'!F61</f>
        <v>1</v>
      </c>
      <c r="E61" s="157">
        <f>'FY26'!F61</f>
        <v>1</v>
      </c>
      <c r="F61" s="157">
        <f>'FY27'!F61</f>
        <v>1</v>
      </c>
      <c r="G61" s="157">
        <f>'FY28'!F61</f>
        <v>1</v>
      </c>
    </row>
    <row r="62" spans="1:7" x14ac:dyDescent="0.35">
      <c r="A62" s="35"/>
      <c r="B62" s="157">
        <f>'FY23'!G62</f>
        <v>0</v>
      </c>
      <c r="C62" s="157">
        <f>'FY24'!F62</f>
        <v>0</v>
      </c>
      <c r="D62" s="157">
        <f>'FY25'!F62</f>
        <v>0</v>
      </c>
      <c r="E62" s="157">
        <f>'FY26'!F62</f>
        <v>0</v>
      </c>
      <c r="F62" s="157">
        <f>'FY27'!F62</f>
        <v>0</v>
      </c>
      <c r="G62" s="157">
        <f>'FY28'!F62</f>
        <v>0</v>
      </c>
    </row>
    <row r="63" spans="1:7" x14ac:dyDescent="0.35">
      <c r="A63" s="29" t="s">
        <v>45</v>
      </c>
      <c r="B63" s="30">
        <f t="shared" ref="B63:G63" si="1">SUM(B42:B60)</f>
        <v>20</v>
      </c>
      <c r="C63" s="30">
        <f t="shared" si="1"/>
        <v>21</v>
      </c>
      <c r="D63" s="30">
        <f t="shared" si="1"/>
        <v>21</v>
      </c>
      <c r="E63" s="30">
        <f t="shared" si="1"/>
        <v>21</v>
      </c>
      <c r="F63" s="30">
        <f t="shared" si="1"/>
        <v>21</v>
      </c>
      <c r="G63" s="30">
        <f t="shared" si="1"/>
        <v>21</v>
      </c>
    </row>
    <row r="64" spans="1:7" ht="15" thickBot="1" x14ac:dyDescent="0.4">
      <c r="A64" s="36"/>
      <c r="B64" s="38"/>
      <c r="C64" s="38"/>
      <c r="D64" s="38"/>
      <c r="E64" s="38"/>
      <c r="F64" s="38"/>
      <c r="G64" s="38"/>
    </row>
    <row r="65" spans="1:7" x14ac:dyDescent="0.35">
      <c r="A65" s="40" t="s">
        <v>46</v>
      </c>
      <c r="B65" s="39">
        <f t="shared" ref="B65:G65" si="2">B39</f>
        <v>43.5</v>
      </c>
      <c r="C65" s="39">
        <f t="shared" si="2"/>
        <v>45.5</v>
      </c>
      <c r="D65" s="39">
        <f t="shared" si="2"/>
        <v>45.5</v>
      </c>
      <c r="E65" s="39">
        <f t="shared" si="2"/>
        <v>45.5</v>
      </c>
      <c r="F65" s="39">
        <f t="shared" si="2"/>
        <v>45.5</v>
      </c>
      <c r="G65" s="39">
        <f t="shared" si="2"/>
        <v>45.5</v>
      </c>
    </row>
    <row r="66" spans="1:7" ht="15" thickBot="1" x14ac:dyDescent="0.4">
      <c r="A66" s="43" t="s">
        <v>47</v>
      </c>
      <c r="B66" s="42">
        <f t="shared" ref="B66" si="3">B63</f>
        <v>20</v>
      </c>
      <c r="C66" s="42">
        <f t="shared" ref="C66:G66" si="4">C63</f>
        <v>21</v>
      </c>
      <c r="D66" s="42">
        <f t="shared" si="4"/>
        <v>21</v>
      </c>
      <c r="E66" s="42">
        <f t="shared" si="4"/>
        <v>21</v>
      </c>
      <c r="F66" s="42">
        <f t="shared" si="4"/>
        <v>21</v>
      </c>
      <c r="G66" s="42">
        <f t="shared" si="4"/>
        <v>21</v>
      </c>
    </row>
    <row r="67" spans="1:7" ht="15" thickBot="1" x14ac:dyDescent="0.4">
      <c r="A67" s="45" t="s">
        <v>48</v>
      </c>
      <c r="B67" s="44">
        <f t="shared" ref="B67" si="5">SUM(B65:B66)</f>
        <v>63.5</v>
      </c>
      <c r="C67" s="44">
        <f t="shared" ref="C67:G67" si="6">SUM(C65:C66)</f>
        <v>66.5</v>
      </c>
      <c r="D67" s="44">
        <f t="shared" si="6"/>
        <v>66.5</v>
      </c>
      <c r="E67" s="44">
        <f t="shared" si="6"/>
        <v>66.5</v>
      </c>
      <c r="F67" s="44">
        <f t="shared" si="6"/>
        <v>66.5</v>
      </c>
      <c r="G67" s="44">
        <f t="shared" si="6"/>
        <v>66.5</v>
      </c>
    </row>
    <row r="68" spans="1:7" ht="15" thickBot="1" x14ac:dyDescent="0.4">
      <c r="A68" s="34"/>
      <c r="B68" s="46"/>
      <c r="C68" s="46"/>
      <c r="D68" s="46"/>
      <c r="E68" s="46"/>
      <c r="F68" s="46"/>
      <c r="G68" s="46"/>
    </row>
    <row r="69" spans="1:7" x14ac:dyDescent="0.35">
      <c r="A69" s="48" t="s">
        <v>49</v>
      </c>
      <c r="B69" s="47">
        <f t="shared" ref="B69:C69" si="7">B138/(SUM(B205:B215))</f>
        <v>0.6024035961852805</v>
      </c>
      <c r="C69" s="47">
        <f t="shared" si="7"/>
        <v>0.61099814358128179</v>
      </c>
      <c r="D69" s="47">
        <f t="shared" ref="D69:G69" si="8">D138/(SUM(D205:D215))</f>
        <v>0.61726521231941422</v>
      </c>
      <c r="E69" s="47">
        <f t="shared" si="8"/>
        <v>0.6151146424989864</v>
      </c>
      <c r="F69" s="47">
        <f t="shared" si="8"/>
        <v>0.61839276647420638</v>
      </c>
      <c r="G69" s="47">
        <f t="shared" si="8"/>
        <v>0.62214964735014378</v>
      </c>
    </row>
    <row r="70" spans="1:7" x14ac:dyDescent="0.35">
      <c r="A70" s="50" t="s">
        <v>50</v>
      </c>
      <c r="B70" s="49">
        <f t="shared" ref="B70" si="9">(B109+B110+B111+B114)/B130</f>
        <v>0.74581520409716584</v>
      </c>
      <c r="C70" s="49">
        <f t="shared" ref="C70:G70" si="10">(C109+C110+C111+C114)/C130</f>
        <v>0.73527905927363413</v>
      </c>
      <c r="D70" s="49">
        <f t="shared" si="10"/>
        <v>0.73579009703567122</v>
      </c>
      <c r="E70" s="49">
        <f t="shared" si="10"/>
        <v>0.73734185067428082</v>
      </c>
      <c r="F70" s="49">
        <f t="shared" si="10"/>
        <v>0.73860556855052106</v>
      </c>
      <c r="G70" s="49">
        <f t="shared" si="10"/>
        <v>0.73999885113630326</v>
      </c>
    </row>
    <row r="71" spans="1:7" x14ac:dyDescent="0.35">
      <c r="A71" s="52" t="s">
        <v>51</v>
      </c>
      <c r="B71" s="49">
        <f t="shared" ref="B71" si="11">(B104+B105+B107+B108+B112+B113+B115+B116+B119+B120+B121+B122+B123+B106+B124+B125+B126+B127+B128)/B130</f>
        <v>0.2541847959028341</v>
      </c>
      <c r="C71" s="49">
        <f t="shared" ref="C71:G71" si="12">(C104+C105+C107+C108+C112+C113+C115+C116+C119+C120+C121+C122+C123+C106+C124+C125+C126+C127+C128)/C130</f>
        <v>0.26472094072636593</v>
      </c>
      <c r="D71" s="49">
        <f t="shared" si="12"/>
        <v>0.26420990296432889</v>
      </c>
      <c r="E71" s="49">
        <f t="shared" si="12"/>
        <v>0.26265814932571924</v>
      </c>
      <c r="F71" s="49">
        <f t="shared" si="12"/>
        <v>0.26139443144947888</v>
      </c>
      <c r="G71" s="49">
        <f t="shared" si="12"/>
        <v>0.26000114886369685</v>
      </c>
    </row>
    <row r="72" spans="1:7" ht="15" thickBot="1" x14ac:dyDescent="0.4">
      <c r="A72" s="54" t="s">
        <v>52</v>
      </c>
      <c r="B72" s="53">
        <f t="shared" ref="B72:C72" si="13">SUM(B207:B215)/B87</f>
        <v>0.13567257628392562</v>
      </c>
      <c r="C72" s="53">
        <f t="shared" si="13"/>
        <v>0.14347052835719865</v>
      </c>
      <c r="D72" s="53">
        <f t="shared" ref="D72:G72" si="14">SUM(D207:D215)/D87</f>
        <v>0.14323575460932245</v>
      </c>
      <c r="E72" s="53">
        <f t="shared" si="14"/>
        <v>0.14968188472057173</v>
      </c>
      <c r="F72" s="53">
        <f t="shared" si="14"/>
        <v>0.14861083848954487</v>
      </c>
      <c r="G72" s="53">
        <f t="shared" si="14"/>
        <v>0.1467485366019344</v>
      </c>
    </row>
    <row r="73" spans="1:7" x14ac:dyDescent="0.35">
      <c r="A73" s="55"/>
      <c r="B73" s="56"/>
      <c r="C73" s="56"/>
      <c r="D73" s="56"/>
      <c r="E73" s="56"/>
      <c r="F73" s="56"/>
      <c r="G73" s="56"/>
    </row>
    <row r="74" spans="1:7" x14ac:dyDescent="0.35">
      <c r="A74" s="58" t="s">
        <v>334</v>
      </c>
      <c r="B74" s="59" t="str">
        <f t="shared" ref="B74:G74" si="15">B1</f>
        <v>FY23</v>
      </c>
      <c r="C74" s="59" t="str">
        <f t="shared" si="15"/>
        <v>FY24</v>
      </c>
      <c r="D74" s="59" t="str">
        <f t="shared" si="15"/>
        <v>FY25</v>
      </c>
      <c r="E74" s="59" t="str">
        <f t="shared" si="15"/>
        <v>FY26</v>
      </c>
      <c r="F74" s="59" t="str">
        <f t="shared" si="15"/>
        <v>FY27</v>
      </c>
      <c r="G74" s="59" t="str">
        <f t="shared" si="15"/>
        <v>FY28</v>
      </c>
    </row>
    <row r="75" spans="1:7" x14ac:dyDescent="0.35">
      <c r="A75" s="61" t="s">
        <v>211</v>
      </c>
      <c r="B75" s="7">
        <f>'FY23'!G75</f>
        <v>6826410</v>
      </c>
      <c r="C75" s="7">
        <f>'FY24'!F75</f>
        <v>7186140</v>
      </c>
      <c r="D75" s="7">
        <f>'FY25'!F75</f>
        <v>7279764</v>
      </c>
      <c r="E75" s="7">
        <f>'FY26'!F75</f>
        <v>7374384</v>
      </c>
      <c r="F75" s="7">
        <f>'FY27'!F75</f>
        <v>7470000</v>
      </c>
      <c r="G75" s="7">
        <f>'FY28'!F75</f>
        <v>7567608</v>
      </c>
    </row>
    <row r="76" spans="1:7" x14ac:dyDescent="0.35">
      <c r="A76" s="63" t="s">
        <v>229</v>
      </c>
      <c r="B76" s="7">
        <f>'FY23'!G76</f>
        <v>74124</v>
      </c>
      <c r="C76" s="7">
        <f>'FY24'!F76</f>
        <v>74124</v>
      </c>
      <c r="D76" s="7">
        <f>'FY25'!F76</f>
        <v>74124</v>
      </c>
      <c r="E76" s="7">
        <f>'FY26'!F76</f>
        <v>74124</v>
      </c>
      <c r="F76" s="7">
        <f>'FY27'!F76</f>
        <v>74124</v>
      </c>
      <c r="G76" s="7">
        <f>'FY28'!F76</f>
        <v>74124</v>
      </c>
    </row>
    <row r="77" spans="1:7" x14ac:dyDescent="0.35">
      <c r="A77" s="63" t="s">
        <v>53</v>
      </c>
      <c r="B77" s="7">
        <f>'FY23'!G77</f>
        <v>39455.955000000002</v>
      </c>
      <c r="C77" s="7">
        <f>'FY24'!F77</f>
        <v>62748.000000000007</v>
      </c>
      <c r="D77" s="7">
        <f>'FY25'!F77</f>
        <v>62748.000000000007</v>
      </c>
      <c r="E77" s="7">
        <f>'FY26'!F77</f>
        <v>62748.000000000007</v>
      </c>
      <c r="F77" s="7">
        <f>'FY27'!F77</f>
        <v>62748.000000000007</v>
      </c>
      <c r="G77" s="7">
        <f>'FY28'!F77</f>
        <v>62748.000000000007</v>
      </c>
    </row>
    <row r="78" spans="1:7" x14ac:dyDescent="0.35">
      <c r="A78" s="63" t="s">
        <v>54</v>
      </c>
      <c r="B78" s="7">
        <f>'FY23'!G78</f>
        <v>95000</v>
      </c>
      <c r="C78" s="7">
        <f>'FY24'!F78</f>
        <v>102600</v>
      </c>
      <c r="D78" s="7">
        <f>'FY25'!F78</f>
        <v>102600</v>
      </c>
      <c r="E78" s="7">
        <f>'FY26'!F78</f>
        <v>102600</v>
      </c>
      <c r="F78" s="7">
        <f>'FY27'!F78</f>
        <v>102600</v>
      </c>
      <c r="G78" s="7">
        <f>'FY28'!F78</f>
        <v>102600</v>
      </c>
    </row>
    <row r="79" spans="1:7" x14ac:dyDescent="0.35">
      <c r="A79" s="145" t="s">
        <v>212</v>
      </c>
      <c r="B79" s="7">
        <f>'FY23'!G79</f>
        <v>275500</v>
      </c>
      <c r="C79" s="7">
        <f>'FY24'!F79</f>
        <v>280800</v>
      </c>
      <c r="D79" s="7">
        <f>'FY25'!F79</f>
        <v>270000</v>
      </c>
      <c r="E79" s="7">
        <f>'FY26'!F79</f>
        <v>270000</v>
      </c>
      <c r="F79" s="7">
        <f>'FY27'!F79</f>
        <v>275400</v>
      </c>
      <c r="G79" s="7">
        <f>'FY28'!F79</f>
        <v>280800</v>
      </c>
    </row>
    <row r="80" spans="1:7" x14ac:dyDescent="0.35">
      <c r="A80" s="63" t="s">
        <v>213</v>
      </c>
      <c r="B80" s="7">
        <f>'FY23'!G80</f>
        <v>9810</v>
      </c>
      <c r="C80" s="7">
        <f>'FY24'!F80</f>
        <v>5007</v>
      </c>
      <c r="D80" s="7">
        <f>'FY25'!F80</f>
        <v>5088</v>
      </c>
      <c r="E80" s="7">
        <f>'FY26'!F80</f>
        <v>5154</v>
      </c>
      <c r="F80" s="7">
        <f>'FY27'!F80</f>
        <v>5220</v>
      </c>
      <c r="G80" s="7">
        <f>'FY28'!F80</f>
        <v>5289</v>
      </c>
    </row>
    <row r="81" spans="1:7" x14ac:dyDescent="0.35">
      <c r="A81" s="63" t="s">
        <v>214</v>
      </c>
      <c r="B81" s="7">
        <f>'FY23'!G81</f>
        <v>51728</v>
      </c>
      <c r="C81" s="7">
        <f>'FY24'!F81</f>
        <v>45686</v>
      </c>
      <c r="D81" s="7">
        <f>'FY25'!F81</f>
        <v>45898</v>
      </c>
      <c r="E81" s="7">
        <f>'FY26'!F81</f>
        <v>46481</v>
      </c>
      <c r="F81" s="7">
        <f>'FY27'!F81</f>
        <v>47117</v>
      </c>
      <c r="G81" s="7">
        <f>'FY28'!F81</f>
        <v>47700</v>
      </c>
    </row>
    <row r="82" spans="1:7" x14ac:dyDescent="0.35">
      <c r="A82" s="63" t="s">
        <v>215</v>
      </c>
      <c r="B82" s="7">
        <f>'FY23'!G82</f>
        <v>10363</v>
      </c>
      <c r="C82" s="7">
        <f>'FY24'!F82</f>
        <v>13585</v>
      </c>
      <c r="D82" s="7">
        <f>'FY25'!F82</f>
        <v>13915</v>
      </c>
      <c r="E82" s="7">
        <f>'FY26'!F82</f>
        <v>14080</v>
      </c>
      <c r="F82" s="7">
        <f>'FY27'!F82</f>
        <v>14245</v>
      </c>
      <c r="G82" s="7">
        <f>'FY28'!F82</f>
        <v>14465</v>
      </c>
    </row>
    <row r="83" spans="1:7" x14ac:dyDescent="0.35">
      <c r="A83" s="63" t="s">
        <v>216</v>
      </c>
      <c r="B83" s="7">
        <f>'FY23'!G83</f>
        <v>0</v>
      </c>
      <c r="C83" s="7">
        <f>'FY24'!F83</f>
        <v>0</v>
      </c>
      <c r="D83" s="7">
        <f>'FY25'!F83</f>
        <v>0</v>
      </c>
      <c r="E83" s="7">
        <f>'FY26'!F83</f>
        <v>0</v>
      </c>
      <c r="F83" s="7">
        <f>'FY27'!F83</f>
        <v>0</v>
      </c>
      <c r="G83" s="7">
        <f>'FY28'!F83</f>
        <v>0</v>
      </c>
    </row>
    <row r="84" spans="1:7" x14ac:dyDescent="0.35">
      <c r="A84" s="63" t="s">
        <v>220</v>
      </c>
      <c r="B84" s="7">
        <f>'FY23'!G84</f>
        <v>0</v>
      </c>
      <c r="C84" s="7">
        <f>'FY24'!F84</f>
        <v>0</v>
      </c>
      <c r="D84" s="7">
        <f>'FY25'!F84</f>
        <v>0</v>
      </c>
      <c r="E84" s="7">
        <f>'FY26'!F84</f>
        <v>0</v>
      </c>
      <c r="F84" s="7">
        <f>'FY27'!F84</f>
        <v>0</v>
      </c>
      <c r="G84" s="7">
        <f>'FY28'!F84</f>
        <v>0</v>
      </c>
    </row>
    <row r="85" spans="1:7" x14ac:dyDescent="0.35">
      <c r="A85" s="63" t="s">
        <v>216</v>
      </c>
      <c r="B85" s="7">
        <f>'FY23'!G85</f>
        <v>0</v>
      </c>
      <c r="C85" s="7">
        <f>'FY24'!F85</f>
        <v>0</v>
      </c>
      <c r="D85" s="7">
        <f>'FY25'!F85</f>
        <v>0</v>
      </c>
      <c r="E85" s="7">
        <f>'FY26'!F85</f>
        <v>0</v>
      </c>
      <c r="F85" s="7">
        <f>'FY27'!F85</f>
        <v>0</v>
      </c>
      <c r="G85" s="7">
        <f>'FY28'!F85</f>
        <v>0</v>
      </c>
    </row>
    <row r="86" spans="1:7" ht="15" thickBot="1" x14ac:dyDescent="0.4">
      <c r="A86" s="66" t="s">
        <v>56</v>
      </c>
      <c r="B86" s="7">
        <f>'FY23'!G86</f>
        <v>0</v>
      </c>
      <c r="C86" s="7">
        <f>'FY24'!F86</f>
        <v>0</v>
      </c>
      <c r="D86" s="7">
        <f>'FY25'!F86</f>
        <v>0</v>
      </c>
      <c r="E86" s="7">
        <f>'FY26'!F86</f>
        <v>0</v>
      </c>
      <c r="F86" s="7">
        <f>'FY27'!F86</f>
        <v>0</v>
      </c>
      <c r="G86" s="7">
        <f>'FY28'!F86</f>
        <v>0</v>
      </c>
    </row>
    <row r="87" spans="1:7" ht="15" thickBot="1" x14ac:dyDescent="0.4">
      <c r="A87" s="68" t="s">
        <v>57</v>
      </c>
      <c r="B87" s="69">
        <f t="shared" ref="B87:G87" si="16">SUM(B75:B86)</f>
        <v>7382390.9550000001</v>
      </c>
      <c r="C87" s="69">
        <f t="shared" si="16"/>
        <v>7770690</v>
      </c>
      <c r="D87" s="69">
        <f t="shared" si="16"/>
        <v>7854137</v>
      </c>
      <c r="E87" s="69">
        <f t="shared" si="16"/>
        <v>7949571</v>
      </c>
      <c r="F87" s="69">
        <f t="shared" si="16"/>
        <v>8051454</v>
      </c>
      <c r="G87" s="69">
        <f t="shared" si="16"/>
        <v>8155334</v>
      </c>
    </row>
    <row r="88" spans="1:7" hidden="1" x14ac:dyDescent="0.35">
      <c r="A88" s="61" t="s">
        <v>211</v>
      </c>
      <c r="B88" s="7">
        <f>'FY23'!G88</f>
        <v>6826410</v>
      </c>
      <c r="C88" s="7">
        <f>'FY24'!F88</f>
        <v>7186140</v>
      </c>
      <c r="D88" s="7">
        <f>'FY25'!F88</f>
        <v>7279764</v>
      </c>
      <c r="E88" s="7">
        <f>'FY26'!F88</f>
        <v>7374384</v>
      </c>
      <c r="F88" s="7">
        <f>'FY27'!F88</f>
        <v>7470000</v>
      </c>
      <c r="G88" s="7">
        <f>'FY28'!F88</f>
        <v>7567608</v>
      </c>
    </row>
    <row r="89" spans="1:7" hidden="1" x14ac:dyDescent="0.35">
      <c r="A89" s="63" t="str">
        <f>A76</f>
        <v>Local SPED</v>
      </c>
      <c r="B89" s="7">
        <f>'FY23'!G89</f>
        <v>74124</v>
      </c>
      <c r="C89" s="7">
        <f>'FY24'!F89</f>
        <v>74124</v>
      </c>
      <c r="D89" s="7">
        <f>'FY25'!F89</f>
        <v>74124</v>
      </c>
      <c r="E89" s="7">
        <f>'FY26'!F89</f>
        <v>74124</v>
      </c>
      <c r="F89" s="7">
        <f>'FY27'!F89</f>
        <v>74124</v>
      </c>
      <c r="G89" s="7">
        <f>'FY28'!F89</f>
        <v>74124</v>
      </c>
    </row>
    <row r="90" spans="1:7" hidden="1" x14ac:dyDescent="0.35">
      <c r="A90" s="63" t="s">
        <v>53</v>
      </c>
      <c r="B90" s="7">
        <f>'FY23'!G90</f>
        <v>39455.955000000002</v>
      </c>
      <c r="C90" s="7">
        <f>'FY24'!F90</f>
        <v>62748.000000000007</v>
      </c>
      <c r="D90" s="7">
        <f>'FY25'!F90</f>
        <v>62748.000000000007</v>
      </c>
      <c r="E90" s="7">
        <f>'FY26'!F90</f>
        <v>62748.000000000007</v>
      </c>
      <c r="F90" s="7">
        <f>'FY27'!F90</f>
        <v>62748.000000000007</v>
      </c>
      <c r="G90" s="7">
        <f>'FY28'!F90</f>
        <v>62748.000000000007</v>
      </c>
    </row>
    <row r="91" spans="1:7" hidden="1" x14ac:dyDescent="0.35">
      <c r="A91" s="63" t="s">
        <v>54</v>
      </c>
      <c r="B91" s="7">
        <f>'FY23'!G91</f>
        <v>95000</v>
      </c>
      <c r="C91" s="7">
        <f>'FY24'!F91</f>
        <v>102600</v>
      </c>
      <c r="D91" s="7">
        <f>'FY25'!F91</f>
        <v>102600</v>
      </c>
      <c r="E91" s="7">
        <f>'FY26'!F91</f>
        <v>102600</v>
      </c>
      <c r="F91" s="7">
        <f>'FY27'!F91</f>
        <v>102600</v>
      </c>
      <c r="G91" s="7">
        <f>'FY28'!F91</f>
        <v>102600</v>
      </c>
    </row>
    <row r="92" spans="1:7" hidden="1" x14ac:dyDescent="0.35">
      <c r="A92" s="145" t="s">
        <v>212</v>
      </c>
      <c r="B92" s="7">
        <f>'FY23'!G92</f>
        <v>275500</v>
      </c>
      <c r="C92" s="7">
        <f>'FY24'!F92</f>
        <v>280800</v>
      </c>
      <c r="D92" s="7">
        <f>'FY25'!F92</f>
        <v>270000</v>
      </c>
      <c r="E92" s="7">
        <f>'FY26'!F92</f>
        <v>270000</v>
      </c>
      <c r="F92" s="7">
        <f>'FY27'!F92</f>
        <v>275400</v>
      </c>
      <c r="G92" s="7">
        <f>'FY28'!F92</f>
        <v>280800</v>
      </c>
    </row>
    <row r="93" spans="1:7" hidden="1" x14ac:dyDescent="0.35">
      <c r="A93" s="63" t="s">
        <v>213</v>
      </c>
      <c r="B93" s="7">
        <f>'FY23'!G93</f>
        <v>9810</v>
      </c>
      <c r="C93" s="7">
        <f>'FY24'!F93</f>
        <v>5007</v>
      </c>
      <c r="D93" s="7">
        <f>'FY25'!F93</f>
        <v>5088</v>
      </c>
      <c r="E93" s="7">
        <f>'FY26'!F93</f>
        <v>5154</v>
      </c>
      <c r="F93" s="7">
        <f>'FY27'!F93</f>
        <v>5220</v>
      </c>
      <c r="G93" s="7">
        <f>'FY28'!F93</f>
        <v>5289</v>
      </c>
    </row>
    <row r="94" spans="1:7" hidden="1" x14ac:dyDescent="0.35">
      <c r="A94" s="63" t="s">
        <v>214</v>
      </c>
      <c r="B94" s="7">
        <f>'FY23'!G94</f>
        <v>51728</v>
      </c>
      <c r="C94" s="7">
        <f>'FY24'!F94</f>
        <v>45686</v>
      </c>
      <c r="D94" s="7">
        <f>'FY25'!F94</f>
        <v>45898</v>
      </c>
      <c r="E94" s="7">
        <f>'FY26'!F94</f>
        <v>46481</v>
      </c>
      <c r="F94" s="7">
        <f>'FY27'!F94</f>
        <v>47117</v>
      </c>
      <c r="G94" s="7">
        <f>'FY28'!F94</f>
        <v>47700</v>
      </c>
    </row>
    <row r="95" spans="1:7" hidden="1" x14ac:dyDescent="0.35">
      <c r="A95" s="63" t="s">
        <v>215</v>
      </c>
      <c r="B95" s="7">
        <f>'FY23'!G95</f>
        <v>10363</v>
      </c>
      <c r="C95" s="7">
        <f>'FY24'!F95</f>
        <v>13585</v>
      </c>
      <c r="D95" s="7">
        <f>'FY25'!F95</f>
        <v>13915</v>
      </c>
      <c r="E95" s="7">
        <f>'FY26'!F95</f>
        <v>14080</v>
      </c>
      <c r="F95" s="7">
        <f>'FY27'!F95</f>
        <v>14245</v>
      </c>
      <c r="G95" s="7">
        <f>'FY28'!F95</f>
        <v>14465</v>
      </c>
    </row>
    <row r="96" spans="1:7" hidden="1" x14ac:dyDescent="0.35">
      <c r="A96" s="63" t="s">
        <v>227</v>
      </c>
      <c r="B96" s="7">
        <f>'FY23'!G96</f>
        <v>0</v>
      </c>
      <c r="C96" s="7">
        <f>'FY24'!F96</f>
        <v>0</v>
      </c>
      <c r="D96" s="7">
        <f>'FY25'!F96</f>
        <v>0</v>
      </c>
      <c r="E96" s="7">
        <f>'FY26'!F96</f>
        <v>0</v>
      </c>
      <c r="F96" s="7">
        <f>'FY27'!F96</f>
        <v>0</v>
      </c>
      <c r="G96" s="7">
        <f>'FY28'!F96</f>
        <v>0</v>
      </c>
    </row>
    <row r="97" spans="1:7" hidden="1" x14ac:dyDescent="0.35">
      <c r="A97" s="63" t="s">
        <v>220</v>
      </c>
      <c r="B97" s="7">
        <f>'FY23'!G97</f>
        <v>0</v>
      </c>
      <c r="C97" s="7">
        <f>'FY24'!F97</f>
        <v>0</v>
      </c>
      <c r="D97" s="7">
        <f>'FY25'!F97</f>
        <v>0</v>
      </c>
      <c r="E97" s="7">
        <f>'FY26'!F97</f>
        <v>0</v>
      </c>
      <c r="F97" s="7">
        <f>'FY27'!F97</f>
        <v>0</v>
      </c>
      <c r="G97" s="7">
        <f>'FY28'!F97</f>
        <v>0</v>
      </c>
    </row>
    <row r="98" spans="1:7" hidden="1" x14ac:dyDescent="0.35">
      <c r="A98" s="63" t="s">
        <v>216</v>
      </c>
      <c r="B98" s="7">
        <f>'FY23'!G98</f>
        <v>0</v>
      </c>
      <c r="C98" s="7">
        <f>'FY24'!F98</f>
        <v>0</v>
      </c>
      <c r="D98" s="7">
        <f>'FY25'!F98</f>
        <v>0</v>
      </c>
      <c r="E98" s="7">
        <f>'FY26'!F98</f>
        <v>0</v>
      </c>
      <c r="F98" s="7">
        <f>'FY27'!F98</f>
        <v>0</v>
      </c>
      <c r="G98" s="7">
        <f>'FY28'!F98</f>
        <v>0</v>
      </c>
    </row>
    <row r="99" spans="1:7" ht="15" hidden="1" thickBot="1" x14ac:dyDescent="0.4">
      <c r="A99" s="66" t="s">
        <v>56</v>
      </c>
      <c r="B99" s="7">
        <f>'FY23'!G99</f>
        <v>0</v>
      </c>
      <c r="C99" s="7">
        <f>'FY24'!F99</f>
        <v>0</v>
      </c>
      <c r="D99" s="7">
        <f>'FY25'!F99</f>
        <v>0</v>
      </c>
      <c r="E99" s="7">
        <f>'FY26'!F99</f>
        <v>0</v>
      </c>
      <c r="F99" s="7">
        <f>'FY27'!F99</f>
        <v>0</v>
      </c>
      <c r="G99" s="7">
        <f>'FY28'!F99</f>
        <v>0</v>
      </c>
    </row>
    <row r="100" spans="1:7" ht="15" hidden="1" thickBot="1" x14ac:dyDescent="0.4">
      <c r="A100" s="68" t="s">
        <v>58</v>
      </c>
      <c r="B100" s="69">
        <f>SUM(B88:B99)</f>
        <v>7382390.9550000001</v>
      </c>
      <c r="C100" s="69">
        <f t="shared" ref="C100:G100" si="17">SUM(C88:C99)</f>
        <v>7770690</v>
      </c>
      <c r="D100" s="69">
        <f t="shared" si="17"/>
        <v>7854137</v>
      </c>
      <c r="E100" s="69">
        <f t="shared" si="17"/>
        <v>7949571</v>
      </c>
      <c r="F100" s="69">
        <f t="shared" si="17"/>
        <v>8051454</v>
      </c>
      <c r="G100" s="69">
        <f t="shared" si="17"/>
        <v>8155334</v>
      </c>
    </row>
    <row r="101" spans="1:7" x14ac:dyDescent="0.35">
      <c r="A101" s="71"/>
      <c r="B101" s="56"/>
      <c r="C101" s="56"/>
      <c r="D101" s="56"/>
      <c r="E101" s="56"/>
      <c r="F101" s="56"/>
      <c r="G101" s="56"/>
    </row>
    <row r="102" spans="1:7" ht="15" thickBot="1" x14ac:dyDescent="0.4">
      <c r="A102" s="73" t="s">
        <v>59</v>
      </c>
      <c r="B102" s="74" t="str">
        <f t="shared" ref="B102:G102" si="18">B1</f>
        <v>FY23</v>
      </c>
      <c r="C102" s="74" t="str">
        <f t="shared" si="18"/>
        <v>FY24</v>
      </c>
      <c r="D102" s="74" t="str">
        <f t="shared" si="18"/>
        <v>FY25</v>
      </c>
      <c r="E102" s="74" t="str">
        <f t="shared" si="18"/>
        <v>FY26</v>
      </c>
      <c r="F102" s="74" t="str">
        <f t="shared" si="18"/>
        <v>FY27</v>
      </c>
      <c r="G102" s="74" t="str">
        <f t="shared" si="18"/>
        <v>FY28</v>
      </c>
    </row>
    <row r="103" spans="1:7" x14ac:dyDescent="0.35">
      <c r="A103" s="76" t="s">
        <v>60</v>
      </c>
      <c r="B103" s="77"/>
      <c r="C103" s="77"/>
      <c r="D103" s="77"/>
      <c r="E103" s="77"/>
      <c r="F103" s="77"/>
      <c r="G103" s="77"/>
    </row>
    <row r="104" spans="1:7" x14ac:dyDescent="0.35">
      <c r="A104" s="63" t="s">
        <v>30</v>
      </c>
      <c r="B104" s="7">
        <f>'FY23'!G104</f>
        <v>114240</v>
      </c>
      <c r="C104" s="7">
        <f>'FY24'!F104</f>
        <v>115725.12</v>
      </c>
      <c r="D104" s="7">
        <f>'FY25'!F104</f>
        <v>118039.62239999999</v>
      </c>
      <c r="E104" s="7">
        <f>'FY26'!F104</f>
        <v>119574.13749119999</v>
      </c>
      <c r="F104" s="7">
        <f>'FY27'!F104</f>
        <v>121128.60127858557</v>
      </c>
      <c r="G104" s="7">
        <f>'FY28'!F104</f>
        <v>122703.27309520717</v>
      </c>
    </row>
    <row r="105" spans="1:7" x14ac:dyDescent="0.35">
      <c r="A105" s="63" t="s">
        <v>61</v>
      </c>
      <c r="B105" s="7">
        <f>'FY23'!G105</f>
        <v>84660</v>
      </c>
      <c r="C105" s="7">
        <f>'FY24'!F105</f>
        <v>155760.57999999999</v>
      </c>
      <c r="D105" s="7">
        <f>'FY25'!F105</f>
        <v>158875.7916</v>
      </c>
      <c r="E105" s="7">
        <f>'FY26'!F105</f>
        <v>160941.17689079998</v>
      </c>
      <c r="F105" s="7">
        <f>'FY27'!F105</f>
        <v>163033.41219038036</v>
      </c>
      <c r="G105" s="7">
        <f>'FY28'!F105</f>
        <v>165152.84654885528</v>
      </c>
    </row>
    <row r="106" spans="1:7" x14ac:dyDescent="0.35">
      <c r="A106" s="63" t="s">
        <v>33</v>
      </c>
      <c r="B106" s="7">
        <f>'FY23'!G106</f>
        <v>60180</v>
      </c>
      <c r="C106" s="7">
        <f>'FY24'!F106</f>
        <v>60962.34</v>
      </c>
      <c r="D106" s="7">
        <f>'FY25'!F106</f>
        <v>62181.586799999997</v>
      </c>
      <c r="E106" s="7">
        <f>'FY26'!F106</f>
        <v>62989.947428399988</v>
      </c>
      <c r="F106" s="7">
        <f>'FY27'!F106</f>
        <v>63808.816744969183</v>
      </c>
      <c r="G106" s="7">
        <f>'FY28'!F106</f>
        <v>64638.331362653778</v>
      </c>
    </row>
    <row r="107" spans="1:7" x14ac:dyDescent="0.35">
      <c r="A107" s="63" t="s">
        <v>252</v>
      </c>
      <c r="B107" s="7">
        <f>'FY23'!G107</f>
        <v>65280</v>
      </c>
      <c r="C107" s="7">
        <f>'FY24'!F107</f>
        <v>66128.639999999999</v>
      </c>
      <c r="D107" s="7">
        <f>'FY25'!F107</f>
        <v>67451.212799999994</v>
      </c>
      <c r="E107" s="7">
        <f>'FY26'!F107</f>
        <v>68328.078566399985</v>
      </c>
      <c r="F107" s="7">
        <f>'FY27'!F107</f>
        <v>69216.343587763171</v>
      </c>
      <c r="G107" s="7">
        <f>'FY28'!F107</f>
        <v>70116.156054404084</v>
      </c>
    </row>
    <row r="108" spans="1:7" x14ac:dyDescent="0.35">
      <c r="A108" s="63" t="s">
        <v>63</v>
      </c>
      <c r="B108" s="7">
        <f>'FY23'!G108</f>
        <v>68340</v>
      </c>
      <c r="C108" s="7">
        <f>'FY24'!F108</f>
        <v>69228.42</v>
      </c>
      <c r="D108" s="7">
        <f>'FY25'!F108</f>
        <v>70612.988400000002</v>
      </c>
      <c r="E108" s="7">
        <f>'FY26'!F108</f>
        <v>71530.957249200001</v>
      </c>
      <c r="F108" s="7">
        <f>'FY27'!F108</f>
        <v>72460.85969343959</v>
      </c>
      <c r="G108" s="7">
        <f>'FY28'!F108</f>
        <v>73402.850869454298</v>
      </c>
    </row>
    <row r="109" spans="1:7" x14ac:dyDescent="0.35">
      <c r="A109" s="63" t="s">
        <v>64</v>
      </c>
      <c r="B109" s="7">
        <f>'FY23'!G109</f>
        <v>1842750</v>
      </c>
      <c r="C109" s="7">
        <f>'FY24'!F109</f>
        <v>1953000</v>
      </c>
      <c r="D109" s="7">
        <f>'FY25'!F109</f>
        <v>1995000</v>
      </c>
      <c r="E109" s="7">
        <f>'FY26'!F109</f>
        <v>2037000</v>
      </c>
      <c r="F109" s="7">
        <f>'FY27'!F109</f>
        <v>2079000</v>
      </c>
      <c r="G109" s="7">
        <f>'FY28'!F109</f>
        <v>2121000</v>
      </c>
    </row>
    <row r="110" spans="1:7" x14ac:dyDescent="0.35">
      <c r="A110" s="63" t="s">
        <v>66</v>
      </c>
      <c r="B110" s="7">
        <f>'FY23'!G110</f>
        <v>0</v>
      </c>
      <c r="C110" s="7">
        <f>'FY24'!F110</f>
        <v>0</v>
      </c>
      <c r="D110" s="7">
        <f>'FY25'!F110</f>
        <v>0</v>
      </c>
      <c r="E110" s="7">
        <f>'FY26'!F110</f>
        <v>0</v>
      </c>
      <c r="F110" s="7">
        <f>'FY27'!F110</f>
        <v>0</v>
      </c>
      <c r="G110" s="7">
        <f>'FY28'!F110</f>
        <v>0</v>
      </c>
    </row>
    <row r="111" spans="1:7" x14ac:dyDescent="0.35">
      <c r="A111" s="63" t="s">
        <v>19</v>
      </c>
      <c r="B111" s="7">
        <f>'FY23'!G111</f>
        <v>136500</v>
      </c>
      <c r="C111" s="7">
        <f>'FY24'!F111</f>
        <v>162750</v>
      </c>
      <c r="D111" s="7">
        <f>'FY25'!F111</f>
        <v>166250</v>
      </c>
      <c r="E111" s="7">
        <f>'FY26'!F111</f>
        <v>169750</v>
      </c>
      <c r="F111" s="7">
        <f>'FY27'!F111</f>
        <v>173250</v>
      </c>
      <c r="G111" s="7">
        <f>'FY28'!F111</f>
        <v>176750</v>
      </c>
    </row>
    <row r="112" spans="1:7" x14ac:dyDescent="0.35">
      <c r="A112" s="63" t="s">
        <v>67</v>
      </c>
      <c r="B112" s="7">
        <f>'FY23'!G112</f>
        <v>107010.38400000001</v>
      </c>
      <c r="C112" s="7">
        <f>'FY24'!F112</f>
        <v>108401.518992</v>
      </c>
      <c r="D112" s="7">
        <f>'FY25'!F112</f>
        <v>110569.54937184</v>
      </c>
      <c r="E112" s="7">
        <f>'FY26'!F112</f>
        <v>112006.9535136739</v>
      </c>
      <c r="F112" s="7">
        <f>'FY27'!F112</f>
        <v>113463.04390935165</v>
      </c>
      <c r="G112" s="7">
        <f>'FY28'!F112</f>
        <v>114938.06348017321</v>
      </c>
    </row>
    <row r="113" spans="1:7" x14ac:dyDescent="0.35">
      <c r="A113" s="63" t="s">
        <v>68</v>
      </c>
      <c r="B113" s="7">
        <f>'FY23'!G113</f>
        <v>42560</v>
      </c>
      <c r="C113" s="7">
        <f>'FY24'!F113</f>
        <v>43320</v>
      </c>
      <c r="D113" s="7">
        <f>'FY25'!F113</f>
        <v>44080</v>
      </c>
      <c r="E113" s="7">
        <f>'FY26'!F113</f>
        <v>44840</v>
      </c>
      <c r="F113" s="7">
        <f>'FY27'!F113</f>
        <v>45600</v>
      </c>
      <c r="G113" s="7">
        <f>'FY28'!F113</f>
        <v>46360</v>
      </c>
    </row>
    <row r="114" spans="1:7" x14ac:dyDescent="0.35">
      <c r="A114" s="63" t="s">
        <v>69</v>
      </c>
      <c r="B114" s="7">
        <f>'FY23'!G114</f>
        <v>131040</v>
      </c>
      <c r="C114" s="7">
        <f>'FY24'!F114</f>
        <v>133560</v>
      </c>
      <c r="D114" s="7">
        <f>'FY25'!F114</f>
        <v>136080</v>
      </c>
      <c r="E114" s="7">
        <f>'FY26'!F114</f>
        <v>138600</v>
      </c>
      <c r="F114" s="7">
        <f>'FY27'!F114</f>
        <v>141120</v>
      </c>
      <c r="G114" s="7">
        <f>'FY28'!F114</f>
        <v>143640</v>
      </c>
    </row>
    <row r="115" spans="1:7" x14ac:dyDescent="0.35">
      <c r="A115" s="63" t="s">
        <v>70</v>
      </c>
      <c r="B115" s="7">
        <f>'FY23'!G115</f>
        <v>48480</v>
      </c>
      <c r="C115" s="7">
        <f>'FY24'!F115</f>
        <v>48960</v>
      </c>
      <c r="D115" s="7">
        <f>'FY25'!F115</f>
        <v>49440</v>
      </c>
      <c r="E115" s="7">
        <f>'FY26'!F115</f>
        <v>49920</v>
      </c>
      <c r="F115" s="7">
        <f>'FY27'!F115</f>
        <v>50400</v>
      </c>
      <c r="G115" s="7">
        <f>'FY28'!F115</f>
        <v>50880</v>
      </c>
    </row>
    <row r="116" spans="1:7" x14ac:dyDescent="0.35">
      <c r="A116" s="63" t="s">
        <v>223</v>
      </c>
      <c r="B116" s="7">
        <f>'FY23'!G116</f>
        <v>0</v>
      </c>
      <c r="C116" s="7">
        <f>'FY24'!F116</f>
        <v>0</v>
      </c>
      <c r="D116" s="7">
        <f>'FY25'!F116</f>
        <v>0</v>
      </c>
      <c r="E116" s="7">
        <f>'FY26'!F116</f>
        <v>0</v>
      </c>
      <c r="F116" s="7">
        <f>'FY27'!F116</f>
        <v>0</v>
      </c>
      <c r="G116" s="7">
        <f>'FY28'!F116</f>
        <v>0</v>
      </c>
    </row>
    <row r="117" spans="1:7" ht="15" thickBot="1" x14ac:dyDescent="0.4">
      <c r="A117" s="82" t="s">
        <v>71</v>
      </c>
      <c r="B117" s="83">
        <f t="shared" ref="B117:G117" si="19">SUM(B104:B116)</f>
        <v>2701040.3840000001</v>
      </c>
      <c r="C117" s="83">
        <f t="shared" si="19"/>
        <v>2917796.6189919999</v>
      </c>
      <c r="D117" s="83">
        <f t="shared" si="19"/>
        <v>2978580.75137184</v>
      </c>
      <c r="E117" s="83">
        <f t="shared" si="19"/>
        <v>3035481.2511396739</v>
      </c>
      <c r="F117" s="83">
        <f t="shared" si="19"/>
        <v>3092481.0774044897</v>
      </c>
      <c r="G117" s="83">
        <f t="shared" si="19"/>
        <v>3149581.5214107479</v>
      </c>
    </row>
    <row r="118" spans="1:7" x14ac:dyDescent="0.35">
      <c r="A118" s="84" t="s">
        <v>72</v>
      </c>
      <c r="B118" s="154" t="str">
        <f t="shared" ref="B118:G118" si="20">B1</f>
        <v>FY23</v>
      </c>
      <c r="C118" s="154" t="str">
        <f t="shared" si="20"/>
        <v>FY24</v>
      </c>
      <c r="D118" s="154" t="str">
        <f t="shared" si="20"/>
        <v>FY25</v>
      </c>
      <c r="E118" s="154" t="str">
        <f t="shared" si="20"/>
        <v>FY26</v>
      </c>
      <c r="F118" s="154" t="str">
        <f t="shared" si="20"/>
        <v>FY27</v>
      </c>
      <c r="G118" s="154" t="str">
        <f t="shared" si="20"/>
        <v>FY28</v>
      </c>
    </row>
    <row r="119" spans="1:7" x14ac:dyDescent="0.35">
      <c r="A119" s="63" t="s">
        <v>73</v>
      </c>
      <c r="B119" s="7">
        <f>'FY23'!G119</f>
        <v>0</v>
      </c>
      <c r="C119" s="7">
        <f>'FY24'!F119</f>
        <v>0</v>
      </c>
      <c r="D119" s="7">
        <f>'FY25'!F119</f>
        <v>0</v>
      </c>
      <c r="E119" s="7">
        <f>'FY26'!F119</f>
        <v>0</v>
      </c>
      <c r="F119" s="7">
        <f>'FY27'!F119</f>
        <v>0</v>
      </c>
      <c r="G119" s="7">
        <f>'FY28'!F119</f>
        <v>0</v>
      </c>
    </row>
    <row r="120" spans="1:7" x14ac:dyDescent="0.35">
      <c r="A120" s="63" t="s">
        <v>39</v>
      </c>
      <c r="B120" s="7">
        <f>'FY23'!G120</f>
        <v>0</v>
      </c>
      <c r="C120" s="7">
        <f>'FY24'!F120</f>
        <v>0</v>
      </c>
      <c r="D120" s="7">
        <f>'FY25'!F120</f>
        <v>0</v>
      </c>
      <c r="E120" s="7">
        <f>'FY26'!F120</f>
        <v>0</v>
      </c>
      <c r="F120" s="7">
        <f>'FY27'!F120</f>
        <v>0</v>
      </c>
      <c r="G120" s="7">
        <f>'FY28'!F120</f>
        <v>0</v>
      </c>
    </row>
    <row r="121" spans="1:7" x14ac:dyDescent="0.35">
      <c r="A121" s="63" t="s">
        <v>40</v>
      </c>
      <c r="B121" s="7">
        <f>'FY23'!G121</f>
        <v>49470</v>
      </c>
      <c r="C121" s="7">
        <f>'FY24'!F121</f>
        <v>50113.109999999993</v>
      </c>
      <c r="D121" s="7">
        <f>'FY25'!F121</f>
        <v>51115.372199999991</v>
      </c>
      <c r="E121" s="7">
        <f>'FY26'!F121</f>
        <v>51779.872038599984</v>
      </c>
      <c r="F121" s="7">
        <f>'FY27'!F121</f>
        <v>52453.010375101781</v>
      </c>
      <c r="G121" s="7">
        <f>'FY28'!F121</f>
        <v>53134.899509978102</v>
      </c>
    </row>
    <row r="122" spans="1:7" x14ac:dyDescent="0.35">
      <c r="A122" s="63" t="s">
        <v>41</v>
      </c>
      <c r="B122" s="7">
        <f>'FY23'!G122</f>
        <v>0</v>
      </c>
      <c r="C122" s="7">
        <f>'FY24'!F122</f>
        <v>0</v>
      </c>
      <c r="D122" s="7">
        <f>'FY25'!F122</f>
        <v>0</v>
      </c>
      <c r="E122" s="7">
        <f>'FY26'!F122</f>
        <v>0</v>
      </c>
      <c r="F122" s="7">
        <f>'FY27'!F122</f>
        <v>0</v>
      </c>
      <c r="G122" s="7">
        <f>'FY28'!F122</f>
        <v>0</v>
      </c>
    </row>
    <row r="123" spans="1:7" x14ac:dyDescent="0.35">
      <c r="A123" s="63" t="s">
        <v>74</v>
      </c>
      <c r="B123" s="7">
        <f>'FY23'!G123</f>
        <v>0</v>
      </c>
      <c r="C123" s="7">
        <f>'FY24'!F123</f>
        <v>0</v>
      </c>
      <c r="D123" s="7">
        <f>'FY25'!F123</f>
        <v>0</v>
      </c>
      <c r="E123" s="7">
        <f>'FY26'!F123</f>
        <v>0</v>
      </c>
      <c r="F123" s="7">
        <f>'FY27'!F123</f>
        <v>0</v>
      </c>
      <c r="G123" s="7">
        <f>'FY28'!F123</f>
        <v>0</v>
      </c>
    </row>
    <row r="124" spans="1:7" x14ac:dyDescent="0.35">
      <c r="A124" s="63" t="s">
        <v>43</v>
      </c>
      <c r="B124" s="7">
        <f>'FY23'!G124</f>
        <v>0</v>
      </c>
      <c r="C124" s="7">
        <f>'FY24'!F124</f>
        <v>0</v>
      </c>
      <c r="D124" s="7">
        <f>'FY25'!F124</f>
        <v>0</v>
      </c>
      <c r="E124" s="7">
        <f>'FY26'!F124</f>
        <v>0</v>
      </c>
      <c r="F124" s="7">
        <f>'FY27'!F124</f>
        <v>0</v>
      </c>
      <c r="G124" s="7">
        <f>'FY28'!F124</f>
        <v>0</v>
      </c>
    </row>
    <row r="125" spans="1:7" x14ac:dyDescent="0.35">
      <c r="A125" s="63" t="s">
        <v>75</v>
      </c>
      <c r="B125" s="7">
        <f>'FY23'!G125</f>
        <v>53040</v>
      </c>
      <c r="C125" s="7">
        <f>'FY24'!F125</f>
        <v>53729.52</v>
      </c>
      <c r="D125" s="7">
        <f>'FY25'!F125</f>
        <v>54804.110399999998</v>
      </c>
      <c r="E125" s="7">
        <f>'FY26'!F125</f>
        <v>55516.563835199995</v>
      </c>
      <c r="F125" s="7">
        <f>'FY27'!F125</f>
        <v>56238.279165057589</v>
      </c>
      <c r="G125" s="7">
        <f>'FY28'!F125</f>
        <v>56969.37679420333</v>
      </c>
    </row>
    <row r="126" spans="1:7" x14ac:dyDescent="0.35">
      <c r="A126" s="63" t="s">
        <v>76</v>
      </c>
      <c r="B126" s="7">
        <f>'FY23'!G126</f>
        <v>0</v>
      </c>
      <c r="C126" s="7">
        <f>'FY24'!F126</f>
        <v>0</v>
      </c>
      <c r="D126" s="7">
        <f>'FY25'!F126</f>
        <v>0</v>
      </c>
      <c r="E126" s="7">
        <f>'FY26'!F126</f>
        <v>0</v>
      </c>
      <c r="F126" s="7">
        <f>'FY27'!F126</f>
        <v>0</v>
      </c>
      <c r="G126" s="7">
        <f>'FY28'!F126</f>
        <v>0</v>
      </c>
    </row>
    <row r="127" spans="1:7" x14ac:dyDescent="0.35">
      <c r="A127" s="63" t="s">
        <v>77</v>
      </c>
      <c r="B127" s="7">
        <f>'FY23'!G127</f>
        <v>14707.5</v>
      </c>
      <c r="C127" s="7">
        <f>'FY24'!F127</f>
        <v>14985</v>
      </c>
      <c r="D127" s="7">
        <f>'FY25'!F127</f>
        <v>15262.5</v>
      </c>
      <c r="E127" s="7">
        <f>'FY26'!F127</f>
        <v>15540</v>
      </c>
      <c r="F127" s="7">
        <f>'FY27'!F127</f>
        <v>15817.5</v>
      </c>
      <c r="G127" s="7">
        <f>'FY28'!F127</f>
        <v>16095</v>
      </c>
    </row>
    <row r="128" spans="1:7" x14ac:dyDescent="0.35">
      <c r="A128" s="63" t="s">
        <v>78</v>
      </c>
      <c r="B128" s="7">
        <f>'FY23'!G128</f>
        <v>11250</v>
      </c>
      <c r="C128" s="7">
        <f>'FY24'!F128</f>
        <v>22500</v>
      </c>
      <c r="D128" s="7">
        <f>'FY25'!F128</f>
        <v>22500</v>
      </c>
      <c r="E128" s="7">
        <f>'FY26'!F128</f>
        <v>22500</v>
      </c>
      <c r="F128" s="7">
        <f>'FY27'!F128</f>
        <v>23400</v>
      </c>
      <c r="G128" s="7">
        <f>'FY28'!F128</f>
        <v>23400</v>
      </c>
    </row>
    <row r="129" spans="1:7" ht="15" thickBot="1" x14ac:dyDescent="0.4">
      <c r="A129" s="82" t="s">
        <v>79</v>
      </c>
      <c r="B129" s="87">
        <f t="shared" ref="B129" si="21">SUM(B119:B128)</f>
        <v>128467.5</v>
      </c>
      <c r="C129" s="87">
        <f t="shared" ref="C129:G129" si="22">SUM(C119:C128)</f>
        <v>141327.63</v>
      </c>
      <c r="D129" s="87">
        <f t="shared" si="22"/>
        <v>143681.98259999999</v>
      </c>
      <c r="E129" s="87">
        <f t="shared" si="22"/>
        <v>145336.43587379999</v>
      </c>
      <c r="F129" s="87">
        <f t="shared" si="22"/>
        <v>147908.78954015937</v>
      </c>
      <c r="G129" s="87">
        <f t="shared" si="22"/>
        <v>149599.27630418143</v>
      </c>
    </row>
    <row r="130" spans="1:7" ht="15" thickBot="1" x14ac:dyDescent="0.4">
      <c r="A130" s="89" t="s">
        <v>80</v>
      </c>
      <c r="B130" s="90">
        <f t="shared" ref="B130" si="23">B117+B129</f>
        <v>2829507.8840000001</v>
      </c>
      <c r="C130" s="90">
        <f t="shared" ref="C130:G130" si="24">C117+C129</f>
        <v>3059124.2489919998</v>
      </c>
      <c r="D130" s="90">
        <f t="shared" si="24"/>
        <v>3122262.7339718398</v>
      </c>
      <c r="E130" s="90">
        <f t="shared" si="24"/>
        <v>3180817.6870134738</v>
      </c>
      <c r="F130" s="90">
        <f t="shared" si="24"/>
        <v>3240389.8669446493</v>
      </c>
      <c r="G130" s="90">
        <f t="shared" si="24"/>
        <v>3299180.7977149291</v>
      </c>
    </row>
    <row r="131" spans="1:7" x14ac:dyDescent="0.35">
      <c r="A131" s="63" t="s">
        <v>217</v>
      </c>
      <c r="B131" s="7">
        <f>'FY23'!G131</f>
        <v>841778.59548999998</v>
      </c>
      <c r="C131" s="7">
        <f>'FY24'!F131</f>
        <v>910089.46407511993</v>
      </c>
      <c r="D131" s="7">
        <f>'FY25'!F131</f>
        <v>928873.16335662233</v>
      </c>
      <c r="E131" s="7">
        <f>'FY26'!F131</f>
        <v>946293.26188650844</v>
      </c>
      <c r="F131" s="7">
        <f>'FY27'!F131</f>
        <v>964015.98541603307</v>
      </c>
      <c r="G131" s="7">
        <f>'FY28'!F131</f>
        <v>981506.28732019139</v>
      </c>
    </row>
    <row r="132" spans="1:7" x14ac:dyDescent="0.35">
      <c r="A132" s="63" t="s">
        <v>81</v>
      </c>
      <c r="B132" s="7">
        <f>'FY23'!G132</f>
        <v>514275.51382999995</v>
      </c>
      <c r="C132" s="7">
        <f>'FY24'!F132</f>
        <v>565937.98606351984</v>
      </c>
      <c r="D132" s="7">
        <f>'FY25'!F132</f>
        <v>585424.26261971996</v>
      </c>
      <c r="E132" s="7">
        <f>'FY26'!F132</f>
        <v>604355.36053256004</v>
      </c>
      <c r="F132" s="7">
        <f>'FY27'!F132</f>
        <v>623775.04938684509</v>
      </c>
      <c r="G132" s="7">
        <f>'FY28'!F132</f>
        <v>643340.25555441121</v>
      </c>
    </row>
    <row r="133" spans="1:7" x14ac:dyDescent="0.35">
      <c r="A133" s="63" t="s">
        <v>82</v>
      </c>
      <c r="B133" s="7">
        <f>'FY23'!G133</f>
        <v>68463</v>
      </c>
      <c r="C133" s="7">
        <f>'FY24'!F133</f>
        <v>69832.260000000009</v>
      </c>
      <c r="D133" s="7">
        <f>'FY25'!F133</f>
        <v>71228.905199999994</v>
      </c>
      <c r="E133" s="7">
        <f>'FY26'!F133</f>
        <v>72154.880967599995</v>
      </c>
      <c r="F133" s="7">
        <f>'FY27'!F133</f>
        <v>73092.894420178782</v>
      </c>
      <c r="G133" s="7">
        <f>'FY28'!F133</f>
        <v>74043.102047641107</v>
      </c>
    </row>
    <row r="134" spans="1:7" x14ac:dyDescent="0.35">
      <c r="A134" s="63" t="s">
        <v>83</v>
      </c>
      <c r="B134" s="7">
        <f>'FY23'!G134</f>
        <v>0</v>
      </c>
      <c r="C134" s="7">
        <f>'FY24'!F134</f>
        <v>0</v>
      </c>
      <c r="D134" s="7">
        <f>'FY25'!F134</f>
        <v>0</v>
      </c>
      <c r="E134" s="7">
        <f>'FY26'!F134</f>
        <v>0</v>
      </c>
      <c r="F134" s="7">
        <f>'FY27'!F134</f>
        <v>0</v>
      </c>
      <c r="G134" s="7">
        <f>'FY28'!F134</f>
        <v>0</v>
      </c>
    </row>
    <row r="135" spans="1:7" x14ac:dyDescent="0.35">
      <c r="A135" s="63" t="s">
        <v>84</v>
      </c>
      <c r="B135" s="7">
        <f>'FY23'!G135</f>
        <v>5400</v>
      </c>
      <c r="C135" s="7">
        <f>'FY24'!F135</f>
        <v>5400</v>
      </c>
      <c r="D135" s="7">
        <f>'FY25'!F135</f>
        <v>5400</v>
      </c>
      <c r="E135" s="7">
        <f>'FY26'!F135</f>
        <v>5400</v>
      </c>
      <c r="F135" s="7">
        <f>'FY27'!F135</f>
        <v>7200</v>
      </c>
      <c r="G135" s="7">
        <f>'FY28'!F135</f>
        <v>7200</v>
      </c>
    </row>
    <row r="136" spans="1:7" x14ac:dyDescent="0.35">
      <c r="A136" s="63" t="s">
        <v>218</v>
      </c>
      <c r="B136" s="7">
        <f>'FY23'!G136</f>
        <v>60525</v>
      </c>
      <c r="C136" s="7">
        <f>'FY24'!F136</f>
        <v>52575</v>
      </c>
      <c r="D136" s="7">
        <f>'FY25'!F136</f>
        <v>52575</v>
      </c>
      <c r="E136" s="7">
        <f>'FY26'!F136</f>
        <v>52575</v>
      </c>
      <c r="F136" s="7">
        <f>'FY27'!F136</f>
        <v>51675</v>
      </c>
      <c r="G136" s="7">
        <f>'FY28'!F136</f>
        <v>51675</v>
      </c>
    </row>
    <row r="137" spans="1:7" ht="15" thickBot="1" x14ac:dyDescent="0.4">
      <c r="A137" s="91" t="s">
        <v>85</v>
      </c>
      <c r="B137" s="87">
        <f t="shared" ref="B137" si="25">SUM(B131:B136)</f>
        <v>1490442.1093199998</v>
      </c>
      <c r="C137" s="87">
        <f t="shared" ref="C137:G137" si="26">SUM(C131:C136)</f>
        <v>1603834.7101386397</v>
      </c>
      <c r="D137" s="87">
        <f t="shared" si="26"/>
        <v>1643501.3311763422</v>
      </c>
      <c r="E137" s="87">
        <f t="shared" si="26"/>
        <v>1680778.5033866686</v>
      </c>
      <c r="F137" s="87">
        <f t="shared" si="26"/>
        <v>1719758.9292230571</v>
      </c>
      <c r="G137" s="87">
        <f t="shared" si="26"/>
        <v>1757764.6449222437</v>
      </c>
    </row>
    <row r="138" spans="1:7" ht="15" thickBot="1" x14ac:dyDescent="0.4">
      <c r="A138" s="95" t="s">
        <v>86</v>
      </c>
      <c r="B138" s="90">
        <f t="shared" ref="B138" si="27">B130+B137</f>
        <v>4319949.9933199994</v>
      </c>
      <c r="C138" s="90">
        <f t="shared" ref="C138:G138" si="28">C130+C137</f>
        <v>4662958.9591306392</v>
      </c>
      <c r="D138" s="90">
        <f t="shared" si="28"/>
        <v>4765764.0651481822</v>
      </c>
      <c r="E138" s="90">
        <f t="shared" si="28"/>
        <v>4861596.1904001422</v>
      </c>
      <c r="F138" s="90">
        <f t="shared" si="28"/>
        <v>4960148.7961677061</v>
      </c>
      <c r="G138" s="90">
        <f t="shared" si="28"/>
        <v>5056945.4426371725</v>
      </c>
    </row>
    <row r="139" spans="1:7" x14ac:dyDescent="0.35">
      <c r="A139" s="97" t="s">
        <v>87</v>
      </c>
      <c r="B139" s="153" t="str">
        <f t="shared" ref="B139:G139" si="29">B1</f>
        <v>FY23</v>
      </c>
      <c r="C139" s="153" t="str">
        <f t="shared" si="29"/>
        <v>FY24</v>
      </c>
      <c r="D139" s="153" t="str">
        <f t="shared" si="29"/>
        <v>FY25</v>
      </c>
      <c r="E139" s="153" t="str">
        <f t="shared" si="29"/>
        <v>FY26</v>
      </c>
      <c r="F139" s="153" t="str">
        <f t="shared" si="29"/>
        <v>FY27</v>
      </c>
      <c r="G139" s="153" t="str">
        <f t="shared" si="29"/>
        <v>FY28</v>
      </c>
    </row>
    <row r="140" spans="1:7" x14ac:dyDescent="0.35">
      <c r="A140" s="98" t="s">
        <v>88</v>
      </c>
      <c r="B140" s="7">
        <f>'FY23'!G140</f>
        <v>135100</v>
      </c>
      <c r="C140" s="7">
        <f>'FY24'!F140</f>
        <v>139440</v>
      </c>
      <c r="D140" s="7">
        <f>'FY25'!F140</f>
        <v>139440</v>
      </c>
      <c r="E140" s="7">
        <f>'FY26'!F140</f>
        <v>149400</v>
      </c>
      <c r="F140" s="7">
        <f>'FY27'!F140</f>
        <v>149400</v>
      </c>
      <c r="G140" s="7">
        <f>'FY28'!F140</f>
        <v>159360</v>
      </c>
    </row>
    <row r="141" spans="1:7" x14ac:dyDescent="0.35">
      <c r="A141" s="99" t="s">
        <v>394</v>
      </c>
      <c r="B141" s="7">
        <f>'FY23'!G141</f>
        <v>0</v>
      </c>
      <c r="C141" s="7">
        <f>'FY24'!F141</f>
        <v>0</v>
      </c>
      <c r="D141" s="7">
        <f>'FY25'!F141</f>
        <v>0</v>
      </c>
      <c r="E141" s="7">
        <f>'FY26'!F141</f>
        <v>0</v>
      </c>
      <c r="F141" s="7">
        <f>'FY27'!F141</f>
        <v>0</v>
      </c>
      <c r="G141" s="7">
        <f>'FY28'!F141</f>
        <v>0</v>
      </c>
    </row>
    <row r="142" spans="1:7" x14ac:dyDescent="0.35">
      <c r="A142" s="63" t="s">
        <v>89</v>
      </c>
      <c r="B142" s="7">
        <f>'FY23'!G142</f>
        <v>185000</v>
      </c>
      <c r="C142" s="7">
        <f>'FY24'!F142</f>
        <v>145000</v>
      </c>
      <c r="D142" s="7">
        <f>'FY25'!F142</f>
        <v>120000</v>
      </c>
      <c r="E142" s="7">
        <f>'FY26'!F142</f>
        <v>120000</v>
      </c>
      <c r="F142" s="7">
        <f>'FY27'!F142</f>
        <v>120000</v>
      </c>
      <c r="G142" s="7">
        <f>'FY28'!F142</f>
        <v>100000</v>
      </c>
    </row>
    <row r="143" spans="1:7" x14ac:dyDescent="0.35">
      <c r="A143" s="63" t="s">
        <v>90</v>
      </c>
      <c r="B143" s="7">
        <f>'FY23'!G143</f>
        <v>40000</v>
      </c>
      <c r="C143" s="7">
        <f>'FY24'!F143</f>
        <v>0</v>
      </c>
      <c r="D143" s="7">
        <f>'FY25'!F143</f>
        <v>0</v>
      </c>
      <c r="E143" s="7">
        <f>'FY26'!F143</f>
        <v>0</v>
      </c>
      <c r="F143" s="7">
        <f>'FY27'!F143</f>
        <v>0</v>
      </c>
      <c r="G143" s="7">
        <f>'FY28'!F143</f>
        <v>0</v>
      </c>
    </row>
    <row r="144" spans="1:7" x14ac:dyDescent="0.35">
      <c r="A144" s="63" t="s">
        <v>91</v>
      </c>
      <c r="B144" s="7">
        <f>'FY23'!G144</f>
        <v>13510</v>
      </c>
      <c r="C144" s="7">
        <f>'FY24'!F144</f>
        <v>13944</v>
      </c>
      <c r="D144" s="7">
        <f>'FY25'!F144</f>
        <v>13944</v>
      </c>
      <c r="E144" s="7">
        <f>'FY26'!F144</f>
        <v>13944</v>
      </c>
      <c r="F144" s="7">
        <f>'FY27'!F144</f>
        <v>13944</v>
      </c>
      <c r="G144" s="7">
        <f>'FY28'!F144</f>
        <v>13944</v>
      </c>
    </row>
    <row r="145" spans="1:7" x14ac:dyDescent="0.35">
      <c r="A145" s="63" t="s">
        <v>92</v>
      </c>
      <c r="B145" s="7">
        <f>'FY23'!G145</f>
        <v>27985</v>
      </c>
      <c r="C145" s="7">
        <f>'FY24'!F145</f>
        <v>28884</v>
      </c>
      <c r="D145" s="7">
        <f>'FY25'!F145</f>
        <v>28884</v>
      </c>
      <c r="E145" s="7">
        <f>'FY26'!F145</f>
        <v>28884</v>
      </c>
      <c r="F145" s="7">
        <f>'FY27'!F145</f>
        <v>28884</v>
      </c>
      <c r="G145" s="7">
        <f>'FY28'!F145</f>
        <v>28884</v>
      </c>
    </row>
    <row r="146" spans="1:7" x14ac:dyDescent="0.35">
      <c r="A146" s="63" t="s">
        <v>93</v>
      </c>
      <c r="B146" s="7">
        <f>'FY23'!G146</f>
        <v>4101.25</v>
      </c>
      <c r="C146" s="7">
        <f>'FY24'!F146</f>
        <v>4233</v>
      </c>
      <c r="D146" s="7">
        <f>'FY25'!F146</f>
        <v>4233</v>
      </c>
      <c r="E146" s="7">
        <f>'FY26'!F146</f>
        <v>4233</v>
      </c>
      <c r="F146" s="7">
        <f>'FY27'!F146</f>
        <v>4233</v>
      </c>
      <c r="G146" s="7">
        <f>'FY28'!F146</f>
        <v>4233</v>
      </c>
    </row>
    <row r="147" spans="1:7" x14ac:dyDescent="0.35">
      <c r="A147" s="63" t="s">
        <v>94</v>
      </c>
      <c r="B147" s="7">
        <f>'FY23'!G147</f>
        <v>3136.25</v>
      </c>
      <c r="C147" s="7">
        <f>'FY24'!F147</f>
        <v>3237</v>
      </c>
      <c r="D147" s="7">
        <f>'FY25'!F147</f>
        <v>3237</v>
      </c>
      <c r="E147" s="7">
        <f>'FY26'!F147</f>
        <v>3237</v>
      </c>
      <c r="F147" s="7">
        <f>'FY27'!F147</f>
        <v>3237</v>
      </c>
      <c r="G147" s="7">
        <f>'FY28'!F147</f>
        <v>3237</v>
      </c>
    </row>
    <row r="148" spans="1:7" x14ac:dyDescent="0.35">
      <c r="A148" s="63" t="s">
        <v>95</v>
      </c>
      <c r="B148" s="7">
        <f>'FY23'!G148</f>
        <v>12900</v>
      </c>
      <c r="C148" s="7">
        <f>'FY24'!F148</f>
        <v>13932</v>
      </c>
      <c r="D148" s="7">
        <f>'FY25'!F148</f>
        <v>13932</v>
      </c>
      <c r="E148" s="7">
        <f>'FY26'!F148</f>
        <v>13932</v>
      </c>
      <c r="F148" s="7">
        <f>'FY27'!F148</f>
        <v>13932</v>
      </c>
      <c r="G148" s="7">
        <f>'FY28'!F148</f>
        <v>13932</v>
      </c>
    </row>
    <row r="149" spans="1:7" ht="15" thickBot="1" x14ac:dyDescent="0.4">
      <c r="A149" s="63" t="s">
        <v>96</v>
      </c>
      <c r="B149" s="7">
        <f>'FY23'!G149</f>
        <v>0</v>
      </c>
      <c r="C149" s="7">
        <f>'FY24'!F149</f>
        <v>0</v>
      </c>
      <c r="D149" s="7">
        <f>'FY25'!F149</f>
        <v>0</v>
      </c>
      <c r="E149" s="7">
        <f>'FY26'!F149</f>
        <v>0</v>
      </c>
      <c r="F149" s="7">
        <f>'FY27'!F149</f>
        <v>0</v>
      </c>
      <c r="G149" s="7">
        <f>'FY28'!F149</f>
        <v>0</v>
      </c>
    </row>
    <row r="150" spans="1:7" ht="15" thickBot="1" x14ac:dyDescent="0.4">
      <c r="A150" s="95" t="s">
        <v>97</v>
      </c>
      <c r="B150" s="92">
        <f t="shared" ref="B150:G150" si="30">SUM(B140:B149)</f>
        <v>421732.5</v>
      </c>
      <c r="C150" s="92">
        <f t="shared" si="30"/>
        <v>348670</v>
      </c>
      <c r="D150" s="92">
        <f t="shared" si="30"/>
        <v>323670</v>
      </c>
      <c r="E150" s="92">
        <f t="shared" si="30"/>
        <v>333630</v>
      </c>
      <c r="F150" s="92">
        <f t="shared" si="30"/>
        <v>333630</v>
      </c>
      <c r="G150" s="92">
        <f t="shared" si="30"/>
        <v>323590</v>
      </c>
    </row>
    <row r="151" spans="1:7" x14ac:dyDescent="0.35">
      <c r="A151" s="101" t="s">
        <v>98</v>
      </c>
      <c r="B151" s="153" t="str">
        <f t="shared" ref="B151:G151" si="31">B1</f>
        <v>FY23</v>
      </c>
      <c r="C151" s="153" t="str">
        <f t="shared" si="31"/>
        <v>FY24</v>
      </c>
      <c r="D151" s="153" t="str">
        <f t="shared" si="31"/>
        <v>FY25</v>
      </c>
      <c r="E151" s="153" t="str">
        <f t="shared" si="31"/>
        <v>FY26</v>
      </c>
      <c r="F151" s="153" t="str">
        <f t="shared" si="31"/>
        <v>FY27</v>
      </c>
      <c r="G151" s="153" t="str">
        <f t="shared" si="31"/>
        <v>FY28</v>
      </c>
    </row>
    <row r="152" spans="1:7" x14ac:dyDescent="0.35">
      <c r="A152" s="63" t="s">
        <v>99</v>
      </c>
      <c r="B152" s="7">
        <f>'FY23'!G152</f>
        <v>12500</v>
      </c>
      <c r="C152" s="7">
        <f>'FY24'!F152</f>
        <v>12500</v>
      </c>
      <c r="D152" s="7">
        <f>'FY25'!F152</f>
        <v>12875</v>
      </c>
      <c r="E152" s="7">
        <f>'FY26'!F152</f>
        <v>12875</v>
      </c>
      <c r="F152" s="7">
        <f>'FY27'!F152</f>
        <v>13261.25</v>
      </c>
      <c r="G152" s="7">
        <f>'FY28'!F152</f>
        <v>13659.0875</v>
      </c>
    </row>
    <row r="153" spans="1:7" x14ac:dyDescent="0.35">
      <c r="A153" s="63" t="s">
        <v>100</v>
      </c>
      <c r="B153" s="7">
        <f>'FY23'!G153</f>
        <v>250900</v>
      </c>
      <c r="C153" s="7">
        <f>'FY24'!F153</f>
        <v>258960</v>
      </c>
      <c r="D153" s="7">
        <f>'FY25'!F153</f>
        <v>258960</v>
      </c>
      <c r="E153" s="7">
        <f>'FY26'!F153</f>
        <v>258960</v>
      </c>
      <c r="F153" s="7">
        <f>'FY27'!F153</f>
        <v>258960</v>
      </c>
      <c r="G153" s="7">
        <f>'FY28'!F153</f>
        <v>258960</v>
      </c>
    </row>
    <row r="154" spans="1:7" x14ac:dyDescent="0.35">
      <c r="A154" s="63" t="s">
        <v>101</v>
      </c>
      <c r="B154" s="7">
        <f>'FY23'!G154</f>
        <v>0</v>
      </c>
      <c r="C154" s="7">
        <f>'FY24'!F154</f>
        <v>0</v>
      </c>
      <c r="D154" s="7">
        <f>'FY25'!F154</f>
        <v>0</v>
      </c>
      <c r="E154" s="7">
        <f>'FY26'!F154</f>
        <v>0</v>
      </c>
      <c r="F154" s="7">
        <f>'FY27'!F154</f>
        <v>0</v>
      </c>
      <c r="G154" s="7">
        <f>'FY28'!F154</f>
        <v>0</v>
      </c>
    </row>
    <row r="155" spans="1:7" x14ac:dyDescent="0.35">
      <c r="A155" s="63" t="s">
        <v>205</v>
      </c>
      <c r="B155" s="7">
        <f>'FY23'!G155</f>
        <v>434250</v>
      </c>
      <c r="C155" s="7">
        <f>'FY24'!F155</f>
        <v>448200</v>
      </c>
      <c r="D155" s="7">
        <f>'FY25'!F155</f>
        <v>448200</v>
      </c>
      <c r="E155" s="7">
        <f>'FY26'!F155</f>
        <v>448200</v>
      </c>
      <c r="F155" s="7">
        <f>'FY27'!F155</f>
        <v>448200</v>
      </c>
      <c r="G155" s="7">
        <f>'FY28'!F155</f>
        <v>448200</v>
      </c>
    </row>
    <row r="156" spans="1:7" x14ac:dyDescent="0.35">
      <c r="A156" s="63" t="s">
        <v>103</v>
      </c>
      <c r="B156" s="7">
        <f>'FY23'!G156</f>
        <v>13620</v>
      </c>
      <c r="C156" s="7">
        <f>'FY24'!F156</f>
        <v>14460</v>
      </c>
      <c r="D156" s="7">
        <f>'FY25'!F156</f>
        <v>14460</v>
      </c>
      <c r="E156" s="7">
        <f>'FY26'!F156</f>
        <v>14460</v>
      </c>
      <c r="F156" s="7">
        <f>'FY27'!F156</f>
        <v>14460</v>
      </c>
      <c r="G156" s="7">
        <f>'FY28'!F156</f>
        <v>14460</v>
      </c>
    </row>
    <row r="157" spans="1:7" x14ac:dyDescent="0.35">
      <c r="A157" s="63" t="s">
        <v>104</v>
      </c>
      <c r="B157" s="7">
        <f>'FY23'!G157</f>
        <v>28500</v>
      </c>
      <c r="C157" s="7">
        <f>'FY24'!F157</f>
        <v>29355</v>
      </c>
      <c r="D157" s="7">
        <f>'FY25'!F157</f>
        <v>15117.825000000001</v>
      </c>
      <c r="E157" s="7">
        <f>'FY26'!F157</f>
        <v>15117.825000000001</v>
      </c>
      <c r="F157" s="7">
        <f>'FY27'!F157</f>
        <v>15571.359750000001</v>
      </c>
      <c r="G157" s="7">
        <f>'FY28'!F157</f>
        <v>16038.500542500002</v>
      </c>
    </row>
    <row r="158" spans="1:7" x14ac:dyDescent="0.35">
      <c r="A158" s="63" t="s">
        <v>105</v>
      </c>
      <c r="B158" s="7">
        <f>'FY23'!G158</f>
        <v>5500</v>
      </c>
      <c r="C158" s="7">
        <f>'FY24'!F158</f>
        <v>5500</v>
      </c>
      <c r="D158" s="7">
        <f>'FY25'!F158</f>
        <v>5500</v>
      </c>
      <c r="E158" s="7">
        <f>'FY26'!F158</f>
        <v>5500</v>
      </c>
      <c r="F158" s="7">
        <f>'FY27'!F158</f>
        <v>5600</v>
      </c>
      <c r="G158" s="7">
        <f>'FY28'!F158</f>
        <v>5600</v>
      </c>
    </row>
    <row r="159" spans="1:7" x14ac:dyDescent="0.35">
      <c r="A159" s="63" t="s">
        <v>106</v>
      </c>
      <c r="B159" s="7">
        <f>'FY23'!G159</f>
        <v>40530</v>
      </c>
      <c r="C159" s="7">
        <f>'FY24'!F159</f>
        <v>44820</v>
      </c>
      <c r="D159" s="7">
        <f>'FY25'!F159</f>
        <v>44820</v>
      </c>
      <c r="E159" s="7">
        <f>'FY26'!F159</f>
        <v>44820</v>
      </c>
      <c r="F159" s="7">
        <f>'FY27'!F159</f>
        <v>44820</v>
      </c>
      <c r="G159" s="7">
        <f>'FY28'!F159</f>
        <v>44820</v>
      </c>
    </row>
    <row r="160" spans="1:7" x14ac:dyDescent="0.35">
      <c r="A160" s="63" t="s">
        <v>107</v>
      </c>
      <c r="B160" s="7">
        <f>'FY23'!G160</f>
        <v>7500</v>
      </c>
      <c r="C160" s="7">
        <f>'FY24'!F160</f>
        <v>10000</v>
      </c>
      <c r="D160" s="7">
        <f>'FY25'!F160</f>
        <v>8500</v>
      </c>
      <c r="E160" s="7">
        <f>'FY26'!F160</f>
        <v>8500</v>
      </c>
      <c r="F160" s="7">
        <f>'FY27'!F160</f>
        <v>8500</v>
      </c>
      <c r="G160" s="7">
        <f>'FY28'!F160</f>
        <v>8500</v>
      </c>
    </row>
    <row r="161" spans="1:7" x14ac:dyDescent="0.35">
      <c r="A161" s="63" t="s">
        <v>219</v>
      </c>
      <c r="B161" s="7">
        <f>'FY23'!G161</f>
        <v>86228.887499999997</v>
      </c>
      <c r="C161" s="7">
        <f>'FY24'!F161</f>
        <v>89826.75</v>
      </c>
      <c r="D161" s="7">
        <f>'FY25'!F161</f>
        <v>90997.05</v>
      </c>
      <c r="E161" s="7">
        <f>'FY26'!F161</f>
        <v>92179.8</v>
      </c>
      <c r="F161" s="7">
        <f>'FY27'!F161</f>
        <v>93375</v>
      </c>
      <c r="G161" s="7">
        <f>'FY28'!F161</f>
        <v>94595.1</v>
      </c>
    </row>
    <row r="162" spans="1:7" x14ac:dyDescent="0.35">
      <c r="A162" s="63" t="s">
        <v>108</v>
      </c>
      <c r="B162" s="7">
        <f>'FY23'!G162</f>
        <v>34132.050000000003</v>
      </c>
      <c r="C162" s="7">
        <f>'FY24'!F162</f>
        <v>35930.700000000004</v>
      </c>
      <c r="D162" s="7">
        <f>'FY25'!F162</f>
        <v>36398.82</v>
      </c>
      <c r="E162" s="7">
        <f>'FY26'!F162</f>
        <v>36871.919999999998</v>
      </c>
      <c r="F162" s="7">
        <f>'FY27'!F162</f>
        <v>37350</v>
      </c>
      <c r="G162" s="7">
        <f>'FY28'!F162</f>
        <v>37838.04</v>
      </c>
    </row>
    <row r="163" spans="1:7" x14ac:dyDescent="0.35">
      <c r="A163" s="63" t="s">
        <v>109</v>
      </c>
      <c r="B163" s="7">
        <f>'FY23'!G163</f>
        <v>34132.050000000003</v>
      </c>
      <c r="C163" s="7">
        <f>'FY24'!F163</f>
        <v>35930.700000000004</v>
      </c>
      <c r="D163" s="7">
        <f>'FY25'!F163</f>
        <v>36398.82</v>
      </c>
      <c r="E163" s="7">
        <f>'FY26'!F163</f>
        <v>36871.919999999998</v>
      </c>
      <c r="F163" s="7">
        <f>'FY27'!F163</f>
        <v>37350</v>
      </c>
      <c r="G163" s="7">
        <f>'FY28'!F163</f>
        <v>37838.04</v>
      </c>
    </row>
    <row r="164" spans="1:7" ht="15" thickBot="1" x14ac:dyDescent="0.4">
      <c r="A164" s="63" t="s">
        <v>110</v>
      </c>
      <c r="B164" s="7">
        <f>'FY23'!G164</f>
        <v>0</v>
      </c>
      <c r="C164" s="7">
        <f>'FY24'!F164</f>
        <v>0</v>
      </c>
      <c r="D164" s="7">
        <f>'FY25'!F164</f>
        <v>0</v>
      </c>
      <c r="E164" s="7">
        <f>'FY26'!F164</f>
        <v>0</v>
      </c>
      <c r="F164" s="7">
        <f>'FY27'!F164</f>
        <v>0</v>
      </c>
      <c r="G164" s="7">
        <f>'FY28'!F164</f>
        <v>0</v>
      </c>
    </row>
    <row r="165" spans="1:7" ht="15" thickBot="1" x14ac:dyDescent="0.4">
      <c r="A165" s="95" t="s">
        <v>111</v>
      </c>
      <c r="B165" s="92">
        <f t="shared" ref="B165:G165" si="32">SUM(B152:B164)</f>
        <v>947792.98750000005</v>
      </c>
      <c r="C165" s="92">
        <f t="shared" si="32"/>
        <v>985483.14999999991</v>
      </c>
      <c r="D165" s="92">
        <f t="shared" si="32"/>
        <v>972227.5149999999</v>
      </c>
      <c r="E165" s="92">
        <f t="shared" si="32"/>
        <v>974356.46500000008</v>
      </c>
      <c r="F165" s="92">
        <f t="shared" si="32"/>
        <v>977447.60974999995</v>
      </c>
      <c r="G165" s="92">
        <f t="shared" si="32"/>
        <v>980508.76804250013</v>
      </c>
    </row>
    <row r="166" spans="1:7" x14ac:dyDescent="0.35">
      <c r="A166" s="101" t="s">
        <v>112</v>
      </c>
      <c r="B166" s="153" t="str">
        <f t="shared" ref="B166:G166" si="33">B151</f>
        <v>FY23</v>
      </c>
      <c r="C166" s="153" t="str">
        <f t="shared" si="33"/>
        <v>FY24</v>
      </c>
      <c r="D166" s="153" t="str">
        <f t="shared" si="33"/>
        <v>FY25</v>
      </c>
      <c r="E166" s="153" t="str">
        <f t="shared" si="33"/>
        <v>FY26</v>
      </c>
      <c r="F166" s="153" t="str">
        <f t="shared" si="33"/>
        <v>FY27</v>
      </c>
      <c r="G166" s="153" t="str">
        <f t="shared" si="33"/>
        <v>FY28</v>
      </c>
    </row>
    <row r="167" spans="1:7" x14ac:dyDescent="0.35">
      <c r="A167" s="63" t="s">
        <v>113</v>
      </c>
      <c r="B167" s="7">
        <f>'FY23'!G167</f>
        <v>16740</v>
      </c>
      <c r="C167" s="7">
        <f>'FY24'!F167</f>
        <v>17242.2</v>
      </c>
      <c r="D167" s="7">
        <f>'FY25'!F167</f>
        <v>17587.044000000002</v>
      </c>
      <c r="E167" s="7">
        <f>'FY26'!F167</f>
        <v>17938.784880000003</v>
      </c>
      <c r="F167" s="7">
        <f>'FY27'!F167</f>
        <v>18297.560577600005</v>
      </c>
      <c r="G167" s="7">
        <f>'FY28'!F167</f>
        <v>18663.511789152006</v>
      </c>
    </row>
    <row r="168" spans="1:7" x14ac:dyDescent="0.35">
      <c r="A168" s="63" t="s">
        <v>114</v>
      </c>
      <c r="B168" s="7">
        <f>'FY23'!G168</f>
        <v>3900</v>
      </c>
      <c r="C168" s="7">
        <f>'FY24'!F168</f>
        <v>4017</v>
      </c>
      <c r="D168" s="7">
        <f>'FY25'!F168</f>
        <v>4097.34</v>
      </c>
      <c r="E168" s="7">
        <f>'FY26'!F168</f>
        <v>4179.2867999999999</v>
      </c>
      <c r="F168" s="7">
        <f>'FY27'!F168</f>
        <v>4262.8725359999999</v>
      </c>
      <c r="G168" s="7">
        <f>'FY28'!F168</f>
        <v>4348.1299867199996</v>
      </c>
    </row>
    <row r="169" spans="1:7" x14ac:dyDescent="0.35">
      <c r="A169" s="63" t="s">
        <v>115</v>
      </c>
      <c r="B169" s="7">
        <f>'FY23'!G169</f>
        <v>0</v>
      </c>
      <c r="C169" s="7">
        <f>'FY24'!F169</f>
        <v>0</v>
      </c>
      <c r="D169" s="7">
        <f>'FY25'!F169</f>
        <v>0</v>
      </c>
      <c r="E169" s="7">
        <f>'FY26'!F169</f>
        <v>0</v>
      </c>
      <c r="F169" s="7">
        <f>'FY27'!F169</f>
        <v>0</v>
      </c>
      <c r="G169" s="7">
        <f>'FY28'!F169</f>
        <v>0</v>
      </c>
    </row>
    <row r="170" spans="1:7" x14ac:dyDescent="0.35">
      <c r="A170" s="63" t="s">
        <v>116</v>
      </c>
      <c r="B170" s="7">
        <f>'FY23'!G170</f>
        <v>800</v>
      </c>
      <c r="C170" s="7">
        <f>'FY24'!F170</f>
        <v>800</v>
      </c>
      <c r="D170" s="7">
        <f>'FY25'!F170</f>
        <v>800</v>
      </c>
      <c r="E170" s="7">
        <f>'FY26'!F170</f>
        <v>800</v>
      </c>
      <c r="F170" s="7">
        <f>'FY27'!F170</f>
        <v>800</v>
      </c>
      <c r="G170" s="7">
        <f>'FY28'!F170</f>
        <v>800</v>
      </c>
    </row>
    <row r="171" spans="1:7" x14ac:dyDescent="0.35">
      <c r="A171" s="63" t="s">
        <v>117</v>
      </c>
      <c r="B171" s="7">
        <f>'FY23'!G171</f>
        <v>4750</v>
      </c>
      <c r="C171" s="7">
        <f>'FY24'!F171</f>
        <v>4500</v>
      </c>
      <c r="D171" s="7">
        <f>'FY25'!F171</f>
        <v>4800</v>
      </c>
      <c r="E171" s="7">
        <f>'FY26'!F171</f>
        <v>4800</v>
      </c>
      <c r="F171" s="7">
        <f>'FY27'!F171</f>
        <v>5200</v>
      </c>
      <c r="G171" s="7">
        <f>'FY28'!F171</f>
        <v>5200</v>
      </c>
    </row>
    <row r="172" spans="1:7" x14ac:dyDescent="0.35">
      <c r="A172" s="63" t="s">
        <v>118</v>
      </c>
      <c r="B172" s="7">
        <f>'FY23'!G172</f>
        <v>24200</v>
      </c>
      <c r="C172" s="7">
        <f>'FY24'!F172</f>
        <v>30900</v>
      </c>
      <c r="D172" s="7">
        <f>'FY25'!F172</f>
        <v>31827</v>
      </c>
      <c r="E172" s="7">
        <f>'FY26'!F172</f>
        <v>31827</v>
      </c>
      <c r="F172" s="7">
        <f>'FY27'!F172</f>
        <v>32781.81</v>
      </c>
      <c r="G172" s="7">
        <f>'FY28'!F172</f>
        <v>32781.81</v>
      </c>
    </row>
    <row r="173" spans="1:7" ht="15" thickBot="1" x14ac:dyDescent="0.4">
      <c r="A173" s="63" t="s">
        <v>119</v>
      </c>
      <c r="B173" s="7">
        <f>'FY23'!G173</f>
        <v>3200</v>
      </c>
      <c r="C173" s="7">
        <f>'FY24'!F173</f>
        <v>3296</v>
      </c>
      <c r="D173" s="7">
        <f>'FY25'!F173</f>
        <v>3394.88</v>
      </c>
      <c r="E173" s="7">
        <f>'FY26'!F173</f>
        <v>3394.88</v>
      </c>
      <c r="F173" s="7">
        <f>'FY27'!F173</f>
        <v>3496.7264</v>
      </c>
      <c r="G173" s="7">
        <f>'FY28'!F173</f>
        <v>3496.7264</v>
      </c>
    </row>
    <row r="174" spans="1:7" ht="15" thickBot="1" x14ac:dyDescent="0.4">
      <c r="A174" s="95" t="s">
        <v>120</v>
      </c>
      <c r="B174" s="92">
        <f t="shared" ref="B174:G174" si="34">SUM(B167:B173)</f>
        <v>53590</v>
      </c>
      <c r="C174" s="92">
        <f t="shared" si="34"/>
        <v>60755.199999999997</v>
      </c>
      <c r="D174" s="92">
        <f t="shared" si="34"/>
        <v>62506.264000000003</v>
      </c>
      <c r="E174" s="92">
        <f t="shared" si="34"/>
        <v>62939.951679999998</v>
      </c>
      <c r="F174" s="92">
        <f t="shared" si="34"/>
        <v>64838.969513600001</v>
      </c>
      <c r="G174" s="92">
        <f t="shared" si="34"/>
        <v>65290.178175872003</v>
      </c>
    </row>
    <row r="175" spans="1:7" x14ac:dyDescent="0.35">
      <c r="A175" s="101" t="s">
        <v>121</v>
      </c>
      <c r="B175" s="96"/>
      <c r="C175" s="96"/>
      <c r="D175" s="96"/>
      <c r="E175" s="96"/>
      <c r="F175" s="96"/>
      <c r="G175" s="96"/>
    </row>
    <row r="176" spans="1:7" x14ac:dyDescent="0.35">
      <c r="A176" s="63" t="s">
        <v>222</v>
      </c>
      <c r="B176" s="7">
        <f>'FY23'!G176</f>
        <v>12100.000000000002</v>
      </c>
      <c r="C176" s="7">
        <f>'FY24'!F176</f>
        <v>12826.000000000002</v>
      </c>
      <c r="D176" s="7">
        <f>'FY25'!F176</f>
        <v>13595.560000000003</v>
      </c>
      <c r="E176" s="7">
        <f>'FY26'!F176</f>
        <v>14411.293600000005</v>
      </c>
      <c r="F176" s="7">
        <f>'FY27'!F176</f>
        <v>15275.971216000005</v>
      </c>
      <c r="G176" s="7">
        <f>'FY28'!F176</f>
        <v>16192.529488960006</v>
      </c>
    </row>
    <row r="177" spans="1:7" x14ac:dyDescent="0.35">
      <c r="A177" s="63" t="s">
        <v>122</v>
      </c>
      <c r="B177" s="7">
        <f>'FY23'!G177</f>
        <v>11000</v>
      </c>
      <c r="C177" s="7">
        <f>'FY24'!F177</f>
        <v>11660</v>
      </c>
      <c r="D177" s="7">
        <f>'FY25'!F177</f>
        <v>12359.6</v>
      </c>
      <c r="E177" s="7">
        <f>'FY26'!F177</f>
        <v>13101.176000000001</v>
      </c>
      <c r="F177" s="7">
        <f>'FY27'!F177</f>
        <v>13887.246560000001</v>
      </c>
      <c r="G177" s="7">
        <f>'FY28'!F177</f>
        <v>14720.481353600002</v>
      </c>
    </row>
    <row r="178" spans="1:7" ht="15" thickBot="1" x14ac:dyDescent="0.4">
      <c r="A178" s="63" t="s">
        <v>123</v>
      </c>
      <c r="B178" s="7">
        <f>'FY23'!G178</f>
        <v>19250</v>
      </c>
      <c r="C178" s="7">
        <f>'FY24'!F178</f>
        <v>20405</v>
      </c>
      <c r="D178" s="7">
        <f>'FY25'!F178</f>
        <v>21629.3</v>
      </c>
      <c r="E178" s="7">
        <f>'FY26'!F178</f>
        <v>22927.058000000001</v>
      </c>
      <c r="F178" s="7">
        <f>'FY27'!F178</f>
        <v>24302.681480000003</v>
      </c>
      <c r="G178" s="7">
        <f>'FY28'!F178</f>
        <v>25760.842368800004</v>
      </c>
    </row>
    <row r="179" spans="1:7" ht="15" thickBot="1" x14ac:dyDescent="0.4">
      <c r="A179" s="95" t="s">
        <v>124</v>
      </c>
      <c r="B179" s="92">
        <f t="shared" ref="B179:G179" si="35">SUM(B176:B178)</f>
        <v>42350</v>
      </c>
      <c r="C179" s="92">
        <f t="shared" si="35"/>
        <v>44891</v>
      </c>
      <c r="D179" s="92">
        <f t="shared" si="35"/>
        <v>47584.460000000006</v>
      </c>
      <c r="E179" s="92">
        <f t="shared" si="35"/>
        <v>50439.527600000001</v>
      </c>
      <c r="F179" s="92">
        <f t="shared" si="35"/>
        <v>53465.899256000004</v>
      </c>
      <c r="G179" s="92">
        <f t="shared" si="35"/>
        <v>56673.853211360009</v>
      </c>
    </row>
    <row r="180" spans="1:7" x14ac:dyDescent="0.35">
      <c r="A180" s="101" t="s">
        <v>125</v>
      </c>
      <c r="B180" s="96" t="str">
        <f t="shared" ref="B180:G180" si="36">B1</f>
        <v>FY23</v>
      </c>
      <c r="C180" s="96" t="str">
        <f t="shared" si="36"/>
        <v>FY24</v>
      </c>
      <c r="D180" s="96" t="str">
        <f t="shared" si="36"/>
        <v>FY25</v>
      </c>
      <c r="E180" s="96" t="str">
        <f t="shared" si="36"/>
        <v>FY26</v>
      </c>
      <c r="F180" s="96" t="str">
        <f t="shared" si="36"/>
        <v>FY27</v>
      </c>
      <c r="G180" s="96" t="str">
        <f t="shared" si="36"/>
        <v>FY28</v>
      </c>
    </row>
    <row r="181" spans="1:7" x14ac:dyDescent="0.35">
      <c r="A181" s="63" t="s">
        <v>126</v>
      </c>
      <c r="B181" s="7">
        <f>'FY23'!G181</f>
        <v>43274.237500000003</v>
      </c>
      <c r="C181" s="7">
        <f>'FY24'!F181</f>
        <v>65540.800000000017</v>
      </c>
      <c r="D181" s="7">
        <f>'FY25'!F181</f>
        <v>65540.800000000017</v>
      </c>
      <c r="E181" s="7">
        <f>'FY26'!F181</f>
        <v>65540.800000000017</v>
      </c>
      <c r="F181" s="7">
        <f>'FY27'!F181</f>
        <v>66437.200000000012</v>
      </c>
      <c r="G181" s="7">
        <f>'FY28'!F181</f>
        <v>66437.200000000012</v>
      </c>
    </row>
    <row r="182" spans="1:7" x14ac:dyDescent="0.35">
      <c r="A182" s="63" t="s">
        <v>127</v>
      </c>
      <c r="B182" s="7">
        <f>'FY23'!G182</f>
        <v>1500</v>
      </c>
      <c r="C182" s="7">
        <f>'FY24'!F182</f>
        <v>1500</v>
      </c>
      <c r="D182" s="7">
        <f>'FY25'!F182</f>
        <v>1500</v>
      </c>
      <c r="E182" s="7">
        <f>'FY26'!F182</f>
        <v>1500</v>
      </c>
      <c r="F182" s="7">
        <f>'FY27'!F182</f>
        <v>1500</v>
      </c>
      <c r="G182" s="7">
        <f>'FY28'!F182</f>
        <v>1500</v>
      </c>
    </row>
    <row r="183" spans="1:7" x14ac:dyDescent="0.35">
      <c r="A183" s="63" t="s">
        <v>128</v>
      </c>
      <c r="B183" s="7">
        <f>'FY23'!G183</f>
        <v>1250</v>
      </c>
      <c r="C183" s="7">
        <f>'FY24'!F183</f>
        <v>1250</v>
      </c>
      <c r="D183" s="7">
        <f>'FY25'!F183</f>
        <v>1250</v>
      </c>
      <c r="E183" s="7">
        <f>'FY26'!F183</f>
        <v>1250</v>
      </c>
      <c r="F183" s="7">
        <f>'FY27'!F183</f>
        <v>1250</v>
      </c>
      <c r="G183" s="7">
        <f>'FY28'!F183</f>
        <v>1250</v>
      </c>
    </row>
    <row r="184" spans="1:7" x14ac:dyDescent="0.35">
      <c r="A184" s="63" t="s">
        <v>129</v>
      </c>
      <c r="B184" s="7">
        <f>'FY23'!G184</f>
        <v>1200</v>
      </c>
      <c r="C184" s="7">
        <f>'FY24'!F184</f>
        <v>750</v>
      </c>
      <c r="D184" s="7">
        <f>'FY25'!F184</f>
        <v>750</v>
      </c>
      <c r="E184" s="7">
        <f>'FY26'!F184</f>
        <v>750</v>
      </c>
      <c r="F184" s="7">
        <f>'FY27'!F184</f>
        <v>750</v>
      </c>
      <c r="G184" s="7">
        <f>'FY28'!F184</f>
        <v>750</v>
      </c>
    </row>
    <row r="185" spans="1:7" x14ac:dyDescent="0.35">
      <c r="A185" s="63" t="s">
        <v>130</v>
      </c>
      <c r="B185" s="7">
        <f>'FY23'!G185</f>
        <v>11500</v>
      </c>
      <c r="C185" s="7">
        <f>'FY24'!F185</f>
        <v>11500</v>
      </c>
      <c r="D185" s="7">
        <f>'FY25'!F185</f>
        <v>11500</v>
      </c>
      <c r="E185" s="7">
        <f>'FY26'!F185</f>
        <v>11500</v>
      </c>
      <c r="F185" s="7">
        <f>'FY27'!F185</f>
        <v>12000</v>
      </c>
      <c r="G185" s="7">
        <f>'FY28'!F185</f>
        <v>12000</v>
      </c>
    </row>
    <row r="186" spans="1:7" x14ac:dyDescent="0.35">
      <c r="A186" s="63" t="s">
        <v>131</v>
      </c>
      <c r="B186" s="7">
        <f>'FY23'!G186</f>
        <v>0</v>
      </c>
      <c r="C186" s="7">
        <f>'FY24'!F186</f>
        <v>0</v>
      </c>
      <c r="D186" s="7">
        <f>'FY25'!F186</f>
        <v>0</v>
      </c>
      <c r="E186" s="7">
        <f>'FY26'!F186</f>
        <v>0</v>
      </c>
      <c r="F186" s="7">
        <f>'FY27'!F186</f>
        <v>0</v>
      </c>
      <c r="G186" s="7">
        <f>'FY28'!F186</f>
        <v>0</v>
      </c>
    </row>
    <row r="187" spans="1:7" x14ac:dyDescent="0.35">
      <c r="A187" s="63" t="s">
        <v>132</v>
      </c>
      <c r="B187" s="7">
        <f>'FY23'!G187</f>
        <v>0</v>
      </c>
      <c r="C187" s="7">
        <f>'FY24'!F187</f>
        <v>0</v>
      </c>
      <c r="D187" s="7">
        <f>'FY25'!F187</f>
        <v>0</v>
      </c>
      <c r="E187" s="7">
        <f>'FY26'!F187</f>
        <v>0</v>
      </c>
      <c r="F187" s="7">
        <f>'FY27'!F187</f>
        <v>0</v>
      </c>
      <c r="G187" s="7">
        <f>'FY28'!F187</f>
        <v>0</v>
      </c>
    </row>
    <row r="188" spans="1:7" x14ac:dyDescent="0.35">
      <c r="A188" s="63" t="s">
        <v>133</v>
      </c>
      <c r="B188" s="7">
        <f>'FY23'!G188</f>
        <v>0</v>
      </c>
      <c r="C188" s="7">
        <f>'FY24'!F188</f>
        <v>0</v>
      </c>
      <c r="D188" s="7">
        <f>'FY25'!F188</f>
        <v>0</v>
      </c>
      <c r="E188" s="7">
        <f>'FY26'!F188</f>
        <v>0</v>
      </c>
      <c r="F188" s="7">
        <f>'FY27'!F188</f>
        <v>0</v>
      </c>
      <c r="G188" s="7">
        <f>'FY28'!F188</f>
        <v>0</v>
      </c>
    </row>
    <row r="189" spans="1:7" ht="15" thickBot="1" x14ac:dyDescent="0.4">
      <c r="A189" s="63" t="s">
        <v>134</v>
      </c>
      <c r="B189" s="7">
        <f>'FY23'!G189</f>
        <v>1750</v>
      </c>
      <c r="C189" s="7">
        <f>'FY24'!F189</f>
        <v>1750</v>
      </c>
      <c r="D189" s="7">
        <f>'FY25'!F189</f>
        <v>1750</v>
      </c>
      <c r="E189" s="7">
        <f>'FY26'!F189</f>
        <v>1750</v>
      </c>
      <c r="F189" s="7">
        <f>'FY27'!F189</f>
        <v>1750</v>
      </c>
      <c r="G189" s="7">
        <f>'FY28'!F189</f>
        <v>1750</v>
      </c>
    </row>
    <row r="190" spans="1:7" ht="15" thickBot="1" x14ac:dyDescent="0.4">
      <c r="A190" s="95" t="s">
        <v>135</v>
      </c>
      <c r="B190" s="92">
        <f t="shared" ref="B190:G190" si="37">SUM(B181:B189)</f>
        <v>60474.237500000003</v>
      </c>
      <c r="C190" s="92">
        <f t="shared" si="37"/>
        <v>82290.800000000017</v>
      </c>
      <c r="D190" s="92">
        <f t="shared" si="37"/>
        <v>82290.800000000017</v>
      </c>
      <c r="E190" s="92">
        <f t="shared" si="37"/>
        <v>82290.800000000017</v>
      </c>
      <c r="F190" s="92">
        <f t="shared" si="37"/>
        <v>83687.200000000012</v>
      </c>
      <c r="G190" s="92">
        <f t="shared" si="37"/>
        <v>83687.200000000012</v>
      </c>
    </row>
    <row r="191" spans="1:7" x14ac:dyDescent="0.35">
      <c r="A191" s="101" t="s">
        <v>136</v>
      </c>
      <c r="B191" s="77" t="str">
        <f t="shared" ref="B191:G191" si="38">B180</f>
        <v>FY23</v>
      </c>
      <c r="C191" s="77" t="str">
        <f t="shared" si="38"/>
        <v>FY24</v>
      </c>
      <c r="D191" s="77" t="str">
        <f t="shared" si="38"/>
        <v>FY25</v>
      </c>
      <c r="E191" s="77" t="str">
        <f t="shared" si="38"/>
        <v>FY26</v>
      </c>
      <c r="F191" s="77" t="str">
        <f t="shared" si="38"/>
        <v>FY27</v>
      </c>
      <c r="G191" s="77" t="str">
        <f t="shared" si="38"/>
        <v>FY28</v>
      </c>
    </row>
    <row r="192" spans="1:7" x14ac:dyDescent="0.35">
      <c r="A192" s="63" t="s">
        <v>137</v>
      </c>
      <c r="B192" s="7">
        <f>'FY23'!G192</f>
        <v>60000</v>
      </c>
      <c r="C192" s="7">
        <f>'FY24'!F192</f>
        <v>61800</v>
      </c>
      <c r="D192" s="7">
        <f>'FY25'!F192</f>
        <v>63654</v>
      </c>
      <c r="E192" s="7">
        <f>'FY26'!F192</f>
        <v>65563.62</v>
      </c>
      <c r="F192" s="7">
        <f>'FY27'!F192</f>
        <v>67530.528599999991</v>
      </c>
      <c r="G192" s="7">
        <f>'FY28'!F192</f>
        <v>69556.444457999998</v>
      </c>
    </row>
    <row r="193" spans="1:7" x14ac:dyDescent="0.35">
      <c r="A193" s="63" t="s">
        <v>138</v>
      </c>
      <c r="B193" s="7">
        <f>'FY23'!G193</f>
        <v>3800</v>
      </c>
      <c r="C193" s="7">
        <f>'FY24'!F193</f>
        <v>3914</v>
      </c>
      <c r="D193" s="7">
        <f>'FY25'!F193</f>
        <v>4031.42</v>
      </c>
      <c r="E193" s="7">
        <f>'FY26'!F193</f>
        <v>4152.3626000000004</v>
      </c>
      <c r="F193" s="7">
        <f>'FY27'!F193</f>
        <v>4276.9334780000008</v>
      </c>
      <c r="G193" s="7">
        <f>'FY28'!F193</f>
        <v>4405.2414823400013</v>
      </c>
    </row>
    <row r="194" spans="1:7" x14ac:dyDescent="0.35">
      <c r="A194" s="63" t="s">
        <v>139</v>
      </c>
      <c r="B194" s="7">
        <f>'FY23'!G194</f>
        <v>6000</v>
      </c>
      <c r="C194" s="7">
        <f>'FY24'!F194</f>
        <v>6180</v>
      </c>
      <c r="D194" s="7">
        <f>'FY25'!F194</f>
        <v>6365.4000000000005</v>
      </c>
      <c r="E194" s="7">
        <f>'FY26'!F194</f>
        <v>6556.362000000001</v>
      </c>
      <c r="F194" s="7">
        <f>'FY27'!F194</f>
        <v>6753.0528600000016</v>
      </c>
      <c r="G194" s="7">
        <f>'FY28'!F194</f>
        <v>6955.6444458000014</v>
      </c>
    </row>
    <row r="195" spans="1:7" x14ac:dyDescent="0.35">
      <c r="A195" s="63" t="s">
        <v>140</v>
      </c>
      <c r="B195" s="7">
        <f>'FY23'!G195</f>
        <v>24000</v>
      </c>
      <c r="C195" s="7">
        <f>'FY24'!F195</f>
        <v>24720</v>
      </c>
      <c r="D195" s="7">
        <f>'FY25'!F195</f>
        <v>25461.600000000002</v>
      </c>
      <c r="E195" s="7">
        <f>'FY26'!F195</f>
        <v>26225.448000000004</v>
      </c>
      <c r="F195" s="7">
        <f>'FY27'!F195</f>
        <v>27012.211440000006</v>
      </c>
      <c r="G195" s="7">
        <f>'FY28'!F195</f>
        <v>27822.577783200006</v>
      </c>
    </row>
    <row r="196" spans="1:7" x14ac:dyDescent="0.35">
      <c r="A196" s="63" t="s">
        <v>141</v>
      </c>
      <c r="B196" s="7">
        <f>'FY23'!G196</f>
        <v>7000</v>
      </c>
      <c r="C196" s="7">
        <f>'FY24'!F196</f>
        <v>7210</v>
      </c>
      <c r="D196" s="7">
        <f>'FY25'!F196</f>
        <v>7426.3</v>
      </c>
      <c r="E196" s="7">
        <f>'FY26'!F196</f>
        <v>7649.0889999999999</v>
      </c>
      <c r="F196" s="7">
        <f>'FY27'!F196</f>
        <v>7878.56167</v>
      </c>
      <c r="G196" s="7">
        <f>'FY28'!F196</f>
        <v>8114.9185201</v>
      </c>
    </row>
    <row r="197" spans="1:7" x14ac:dyDescent="0.35">
      <c r="A197" s="63" t="s">
        <v>142</v>
      </c>
      <c r="B197" s="7">
        <f>'FY23'!G197</f>
        <v>108633.2</v>
      </c>
      <c r="C197" s="7">
        <f>'FY24'!F197</f>
        <v>111892.196</v>
      </c>
      <c r="D197" s="7">
        <f>'FY25'!F197</f>
        <v>115248.96188</v>
      </c>
      <c r="E197" s="7">
        <f>'FY26'!F197</f>
        <v>118706.43073640001</v>
      </c>
      <c r="F197" s="7">
        <f>'FY27'!F197</f>
        <v>122267.62365849201</v>
      </c>
      <c r="G197" s="7">
        <f>'FY28'!F197</f>
        <v>125935.65236824678</v>
      </c>
    </row>
    <row r="198" spans="1:7" x14ac:dyDescent="0.35">
      <c r="A198" s="63" t="s">
        <v>143</v>
      </c>
      <c r="B198" s="7">
        <f>'FY23'!G198</f>
        <v>30880</v>
      </c>
      <c r="C198" s="7">
        <f>'FY24'!F198</f>
        <v>31872</v>
      </c>
      <c r="D198" s="7">
        <f>'FY25'!F198</f>
        <v>31872</v>
      </c>
      <c r="E198" s="7">
        <f>'FY26'!F198</f>
        <v>31872</v>
      </c>
      <c r="F198" s="7">
        <f>'FY27'!F198</f>
        <v>31872</v>
      </c>
      <c r="G198" s="7">
        <f>'FY28'!F198</f>
        <v>31872</v>
      </c>
    </row>
    <row r="199" spans="1:7" x14ac:dyDescent="0.35">
      <c r="A199" s="63" t="s">
        <v>145</v>
      </c>
      <c r="B199" s="7">
        <f>'FY23'!G199</f>
        <v>41000</v>
      </c>
      <c r="C199" s="7">
        <f>'FY24'!F199</f>
        <v>41000</v>
      </c>
      <c r="D199" s="7">
        <f>'FY25'!F199</f>
        <v>46000</v>
      </c>
      <c r="E199" s="7">
        <f>'FY26'!F199</f>
        <v>46000</v>
      </c>
      <c r="F199" s="7">
        <f>'FY27'!F199</f>
        <v>40000</v>
      </c>
      <c r="G199" s="7">
        <f>'FY28'!F199</f>
        <v>45000</v>
      </c>
    </row>
    <row r="200" spans="1:7" x14ac:dyDescent="0.35">
      <c r="A200" s="63" t="s">
        <v>146</v>
      </c>
      <c r="B200" s="7">
        <f>'FY23'!G200</f>
        <v>17472</v>
      </c>
      <c r="C200" s="7">
        <f>'FY24'!F200</f>
        <v>17996.16</v>
      </c>
      <c r="D200" s="7">
        <f>'FY25'!F200</f>
        <v>16079.000400000001</v>
      </c>
      <c r="E200" s="7">
        <f>'FY26'!F200</f>
        <v>16079.000400000001</v>
      </c>
      <c r="F200" s="7">
        <f>'FY27'!F200</f>
        <v>17058.211524360002</v>
      </c>
      <c r="G200" s="7">
        <f>'FY28'!F200</f>
        <v>17740.539985334402</v>
      </c>
    </row>
    <row r="201" spans="1:7" x14ac:dyDescent="0.35">
      <c r="A201" s="63" t="s">
        <v>147</v>
      </c>
      <c r="B201" s="7">
        <f>'FY23'!G201</f>
        <v>15500</v>
      </c>
      <c r="C201" s="7">
        <f>'FY24'!F201</f>
        <v>15500</v>
      </c>
      <c r="D201" s="7">
        <f>'FY25'!F201</f>
        <v>15500</v>
      </c>
      <c r="E201" s="7">
        <f>'FY26'!F201</f>
        <v>15500</v>
      </c>
      <c r="F201" s="7">
        <f>'FY27'!F201</f>
        <v>15500</v>
      </c>
      <c r="G201" s="7">
        <f>'FY28'!F201</f>
        <v>15500</v>
      </c>
    </row>
    <row r="202" spans="1:7" ht="15" thickBot="1" x14ac:dyDescent="0.4">
      <c r="A202" s="63" t="s">
        <v>148</v>
      </c>
      <c r="B202" s="7">
        <f>'FY23'!G202</f>
        <v>9426</v>
      </c>
      <c r="C202" s="7">
        <f>'FY24'!F202</f>
        <v>9708.7800000000007</v>
      </c>
      <c r="D202" s="7">
        <f>'FY25'!F202</f>
        <v>10097.131200000002</v>
      </c>
      <c r="E202" s="7">
        <f>'FY26'!F202</f>
        <v>10097.131200000002</v>
      </c>
      <c r="F202" s="7">
        <f>'FY27'!F202</f>
        <v>11132.087148000002</v>
      </c>
      <c r="G202" s="7">
        <f>'FY28'!F202</f>
        <v>11800.012376880002</v>
      </c>
    </row>
    <row r="203" spans="1:7" ht="15" thickBot="1" x14ac:dyDescent="0.4">
      <c r="A203" s="95" t="s">
        <v>149</v>
      </c>
      <c r="B203" s="90">
        <f t="shared" ref="B203" si="39">SUM(B192:B202)</f>
        <v>323711.2</v>
      </c>
      <c r="C203" s="90">
        <f t="shared" ref="C203:G203" si="40">SUM(C192:C202)</f>
        <v>331793.136</v>
      </c>
      <c r="D203" s="90">
        <f t="shared" si="40"/>
        <v>341735.81348000001</v>
      </c>
      <c r="E203" s="90">
        <f t="shared" si="40"/>
        <v>348401.44393640006</v>
      </c>
      <c r="F203" s="90">
        <f t="shared" si="40"/>
        <v>351281.21037885203</v>
      </c>
      <c r="G203" s="90">
        <f t="shared" si="40"/>
        <v>364703.03141990112</v>
      </c>
    </row>
    <row r="204" spans="1:7" ht="15" thickBot="1" x14ac:dyDescent="0.4">
      <c r="A204" s="102"/>
      <c r="B204" s="103"/>
      <c r="C204" s="103"/>
      <c r="D204" s="103"/>
      <c r="E204" s="103"/>
      <c r="F204" s="103"/>
      <c r="G204" s="103"/>
    </row>
    <row r="205" spans="1:7" ht="15" thickBot="1" x14ac:dyDescent="0.4">
      <c r="A205" s="95" t="s">
        <v>150</v>
      </c>
      <c r="B205" s="104">
        <f t="shared" ref="B205:G205" si="41">B138+B150+B165+B174+B179+B190+B203</f>
        <v>6169600.9183199992</v>
      </c>
      <c r="C205" s="104">
        <f t="shared" si="41"/>
        <v>6516842.2451306395</v>
      </c>
      <c r="D205" s="104">
        <f t="shared" si="41"/>
        <v>6595778.9176281821</v>
      </c>
      <c r="E205" s="104">
        <f t="shared" si="41"/>
        <v>6713654.3786165416</v>
      </c>
      <c r="F205" s="104">
        <f t="shared" si="41"/>
        <v>6824499.685066158</v>
      </c>
      <c r="G205" s="104">
        <f t="shared" si="41"/>
        <v>6931398.4734868063</v>
      </c>
    </row>
    <row r="206" spans="1:7" x14ac:dyDescent="0.35">
      <c r="A206" s="105"/>
      <c r="B206" s="62"/>
      <c r="C206" s="62"/>
      <c r="D206" s="62"/>
      <c r="E206" s="62"/>
      <c r="F206" s="62"/>
      <c r="G206" s="62"/>
    </row>
    <row r="207" spans="1:7" x14ac:dyDescent="0.35">
      <c r="A207" s="106" t="s">
        <v>151</v>
      </c>
      <c r="B207" s="7">
        <f>'FY23'!G207</f>
        <v>0</v>
      </c>
      <c r="C207" s="7">
        <f>'FY24'!F207</f>
        <v>0</v>
      </c>
      <c r="D207" s="7">
        <f>'FY25'!F207</f>
        <v>0</v>
      </c>
      <c r="E207" s="7">
        <f>'FY26'!F207</f>
        <v>0</v>
      </c>
      <c r="F207" s="7">
        <f>'FY27'!F207</f>
        <v>0</v>
      </c>
      <c r="G207" s="7">
        <f>'FY28'!F207</f>
        <v>0</v>
      </c>
    </row>
    <row r="208" spans="1:7" x14ac:dyDescent="0.35">
      <c r="A208" s="106" t="s">
        <v>152</v>
      </c>
      <c r="B208" s="7">
        <f>'FY23'!G208</f>
        <v>1001588</v>
      </c>
      <c r="C208" s="7">
        <f>'FY24'!F208</f>
        <v>1114865</v>
      </c>
      <c r="D208" s="7">
        <f>'FY25'!F208</f>
        <v>1124993.24</v>
      </c>
      <c r="E208" s="7">
        <f>'FY26'!F208</f>
        <v>1189906.77</v>
      </c>
      <c r="F208" s="7">
        <f>'FY27'!F208</f>
        <v>1196533.33</v>
      </c>
      <c r="G208" s="7">
        <f>'FY28'!F208</f>
        <v>1196783.33</v>
      </c>
    </row>
    <row r="209" spans="1:7" hidden="1" x14ac:dyDescent="0.35">
      <c r="A209" s="106"/>
      <c r="B209" s="7">
        <f>'FY23'!G209</f>
        <v>0</v>
      </c>
      <c r="C209" s="7">
        <f>'FY24'!F209</f>
        <v>0</v>
      </c>
      <c r="D209" s="7">
        <f>'FY25'!F209</f>
        <v>0</v>
      </c>
      <c r="E209" s="7">
        <f>'FY26'!F209</f>
        <v>0</v>
      </c>
      <c r="F209" s="7">
        <f>'FY27'!F209</f>
        <v>0</v>
      </c>
      <c r="G209" s="7">
        <f>'FY28'!F209</f>
        <v>0</v>
      </c>
    </row>
    <row r="210" spans="1:7" hidden="1" x14ac:dyDescent="0.35">
      <c r="A210" s="106"/>
      <c r="B210" s="7">
        <f>'FY23'!G210</f>
        <v>0</v>
      </c>
      <c r="C210" s="7">
        <f>'FY24'!F210</f>
        <v>0</v>
      </c>
      <c r="D210" s="7">
        <f>'FY25'!F210</f>
        <v>0</v>
      </c>
      <c r="E210" s="7">
        <f>'FY26'!F210</f>
        <v>0</v>
      </c>
      <c r="F210" s="7">
        <f>'FY27'!F210</f>
        <v>0</v>
      </c>
      <c r="G210" s="7">
        <f>'FY28'!F210</f>
        <v>0</v>
      </c>
    </row>
    <row r="211" spans="1:7" hidden="1" x14ac:dyDescent="0.35">
      <c r="A211" s="106"/>
      <c r="B211" s="7">
        <f>'FY23'!G211</f>
        <v>0</v>
      </c>
      <c r="C211" s="7">
        <f>'FY24'!F211</f>
        <v>0</v>
      </c>
      <c r="D211" s="7">
        <f>'FY25'!F211</f>
        <v>0</v>
      </c>
      <c r="E211" s="7">
        <f>'FY26'!F211</f>
        <v>0</v>
      </c>
      <c r="F211" s="7">
        <f>'FY27'!F211</f>
        <v>0</v>
      </c>
      <c r="G211" s="7">
        <f>'FY28'!F211</f>
        <v>0</v>
      </c>
    </row>
    <row r="212" spans="1:7" hidden="1" x14ac:dyDescent="0.35">
      <c r="A212" s="106"/>
      <c r="B212" s="7">
        <f>'FY23'!G212</f>
        <v>0</v>
      </c>
      <c r="C212" s="7">
        <f>'FY24'!F212</f>
        <v>0</v>
      </c>
      <c r="D212" s="7">
        <f>'FY25'!F212</f>
        <v>0</v>
      </c>
      <c r="E212" s="7">
        <f>'FY26'!F212</f>
        <v>0</v>
      </c>
      <c r="F212" s="7">
        <f>'FY27'!F212</f>
        <v>0</v>
      </c>
      <c r="G212" s="7">
        <f>'FY28'!F212</f>
        <v>0</v>
      </c>
    </row>
    <row r="213" spans="1:7" hidden="1" x14ac:dyDescent="0.35">
      <c r="A213" s="106"/>
      <c r="B213" s="7">
        <f>'FY23'!G213</f>
        <v>0</v>
      </c>
      <c r="C213" s="7">
        <f>'FY24'!F213</f>
        <v>0</v>
      </c>
      <c r="D213" s="7">
        <f>'FY25'!F213</f>
        <v>0</v>
      </c>
      <c r="E213" s="7">
        <f>'FY26'!F213</f>
        <v>0</v>
      </c>
      <c r="F213" s="7">
        <f>'FY27'!F213</f>
        <v>0</v>
      </c>
      <c r="G213" s="7">
        <f>'FY28'!F213</f>
        <v>0</v>
      </c>
    </row>
    <row r="214" spans="1:7" x14ac:dyDescent="0.35">
      <c r="A214" s="106" t="s">
        <v>152</v>
      </c>
      <c r="B214" s="7">
        <f>'FY23'!G214</f>
        <v>0</v>
      </c>
      <c r="C214" s="7">
        <f>'FY24'!F214</f>
        <v>0</v>
      </c>
      <c r="D214" s="7">
        <f>'FY25'!F214</f>
        <v>0</v>
      </c>
      <c r="E214" s="7">
        <f>'FY26'!F214</f>
        <v>0</v>
      </c>
      <c r="F214" s="7">
        <f>'FY27'!F214</f>
        <v>0</v>
      </c>
      <c r="G214" s="7">
        <f>'FY28'!F214</f>
        <v>0</v>
      </c>
    </row>
    <row r="215" spans="1:7" x14ac:dyDescent="0.35">
      <c r="A215" s="107" t="s">
        <v>153</v>
      </c>
      <c r="B215" s="7">
        <f>'FY23'!G215</f>
        <v>0</v>
      </c>
      <c r="C215" s="7">
        <f>'FY24'!F215</f>
        <v>0</v>
      </c>
      <c r="D215" s="7">
        <f>'FY25'!F215</f>
        <v>0</v>
      </c>
      <c r="E215" s="7">
        <f>'FY26'!F215</f>
        <v>0</v>
      </c>
      <c r="F215" s="7">
        <f>'FY27'!F215</f>
        <v>0</v>
      </c>
      <c r="G215" s="7">
        <f>'FY28'!F215</f>
        <v>0</v>
      </c>
    </row>
    <row r="216" spans="1:7" x14ac:dyDescent="0.35">
      <c r="A216" s="150"/>
      <c r="B216" s="7"/>
      <c r="C216" s="7">
        <f>'FY24'!R216</f>
        <v>0</v>
      </c>
      <c r="D216" s="7">
        <f>'FY25'!R216</f>
        <v>0</v>
      </c>
      <c r="E216" s="7">
        <f>'FY26'!R216</f>
        <v>0</v>
      </c>
      <c r="F216" s="7">
        <f>'FY27'!R216</f>
        <v>0</v>
      </c>
      <c r="G216" s="7">
        <f>'FY28'!R216</f>
        <v>0</v>
      </c>
    </row>
    <row r="217" spans="1:7" x14ac:dyDescent="0.35">
      <c r="A217" s="151"/>
      <c r="B217" s="7"/>
      <c r="C217" s="7"/>
      <c r="D217" s="7"/>
      <c r="E217" s="7"/>
      <c r="F217" s="7"/>
      <c r="G217" s="7"/>
    </row>
    <row r="218" spans="1:7" ht="15" thickBot="1" x14ac:dyDescent="0.4">
      <c r="A218" s="148" t="s">
        <v>154</v>
      </c>
      <c r="B218" s="149">
        <f t="shared" ref="B218" si="42">B87-B205-B207-B208-B214-B215</f>
        <v>211202.03668000083</v>
      </c>
      <c r="C218" s="149">
        <f t="shared" ref="C218:G218" si="43">C87-C205-C207-C208-C214-C215</f>
        <v>138982.75486936048</v>
      </c>
      <c r="D218" s="149">
        <f t="shared" si="43"/>
        <v>133364.84237181791</v>
      </c>
      <c r="E218" s="149">
        <f t="shared" si="43"/>
        <v>46009.851383458357</v>
      </c>
      <c r="F218" s="149">
        <f t="shared" si="43"/>
        <v>30420.984933841974</v>
      </c>
      <c r="G218" s="149">
        <f t="shared" si="43"/>
        <v>27152.196513193659</v>
      </c>
    </row>
    <row r="219" spans="1:7" ht="15" thickBot="1" x14ac:dyDescent="0.4">
      <c r="A219" s="108"/>
      <c r="B219" s="110">
        <f t="shared" ref="B219" si="44">B218/(B87-B77)</f>
        <v>2.8762618309981069E-2</v>
      </c>
      <c r="C219" s="110">
        <f t="shared" ref="C219:G219" si="45">C218/(C87-C77)</f>
        <v>1.8031110621922228E-2</v>
      </c>
      <c r="D219" s="110">
        <f t="shared" si="45"/>
        <v>1.711695339198414E-2</v>
      </c>
      <c r="E219" s="110">
        <f t="shared" si="45"/>
        <v>5.8337623886650378E-3</v>
      </c>
      <c r="F219" s="110">
        <f t="shared" si="45"/>
        <v>3.8079990594023579E-3</v>
      </c>
      <c r="G219" s="110">
        <f t="shared" si="45"/>
        <v>3.3551940644428939E-3</v>
      </c>
    </row>
    <row r="220" spans="1:7" x14ac:dyDescent="0.35">
      <c r="B220" s="111"/>
      <c r="C220" s="111"/>
      <c r="D220" s="111"/>
      <c r="E220" s="111"/>
      <c r="F220" s="111"/>
      <c r="G220" s="111"/>
    </row>
    <row r="221" spans="1:7" x14ac:dyDescent="0.35">
      <c r="A221" s="174" t="str">
        <f>A1</f>
        <v>DANN OG</v>
      </c>
      <c r="B221" s="174" t="str">
        <f t="shared" ref="B221:G221" si="46">B1</f>
        <v>FY23</v>
      </c>
      <c r="C221" s="174" t="str">
        <f t="shared" si="46"/>
        <v>FY24</v>
      </c>
      <c r="D221" s="174" t="str">
        <f t="shared" si="46"/>
        <v>FY25</v>
      </c>
      <c r="E221" s="174" t="str">
        <f t="shared" si="46"/>
        <v>FY26</v>
      </c>
      <c r="F221" s="174" t="str">
        <f t="shared" si="46"/>
        <v>FY27</v>
      </c>
      <c r="G221" s="174" t="str">
        <f t="shared" si="46"/>
        <v>FY28</v>
      </c>
    </row>
    <row r="222" spans="1:7" x14ac:dyDescent="0.35">
      <c r="B222" s="109"/>
      <c r="C222" s="109"/>
      <c r="D222" s="109"/>
      <c r="E222" s="109"/>
      <c r="F222" s="109"/>
      <c r="G222" s="109"/>
    </row>
    <row r="223" spans="1:7" x14ac:dyDescent="0.35">
      <c r="B223" t="b">
        <f>B218='FY23'!G218</f>
        <v>1</v>
      </c>
      <c r="C223" t="b">
        <f>C218='FY24'!F218</f>
        <v>1</v>
      </c>
      <c r="D223" t="b">
        <f>D218='FY25'!F218</f>
        <v>1</v>
      </c>
      <c r="E223" t="b">
        <f>E218='FY26'!F218</f>
        <v>1</v>
      </c>
      <c r="F223" t="b">
        <f>F218='FY27'!F218</f>
        <v>1</v>
      </c>
      <c r="G223" t="b">
        <f>G218='FY28'!F218</f>
        <v>1</v>
      </c>
    </row>
  </sheetData>
  <pageMargins left="0.7" right="0.7" top="0.75" bottom="0.75" header="0.3" footer="0.3"/>
  <pageSetup scale="59" orientation="portrait" horizontalDpi="100" verticalDpi="100" r:id="rId1"/>
  <rowBreaks count="2" manualBreakCount="2">
    <brk id="72" max="6" man="1"/>
    <brk id="15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9"/>
  <sheetViews>
    <sheetView tabSelected="1" topLeftCell="A141" zoomScale="75" zoomScaleNormal="75" workbookViewId="0">
      <pane xSplit="1" topLeftCell="B1" activePane="topRight" state="frozen"/>
      <selection activeCell="A2" sqref="A2"/>
      <selection pane="topRight" activeCell="K214" sqref="K214"/>
    </sheetView>
  </sheetViews>
  <sheetFormatPr defaultRowHeight="14.5" x14ac:dyDescent="0.35"/>
  <cols>
    <col min="1" max="1" width="55.54296875" bestFit="1" customWidth="1"/>
    <col min="2" max="7" width="14.81640625" customWidth="1"/>
    <col min="9" max="14" width="14" bestFit="1" customWidth="1"/>
    <col min="17" max="17" width="14" bestFit="1" customWidth="1"/>
    <col min="18" max="18" width="13.453125" bestFit="1" customWidth="1"/>
  </cols>
  <sheetData>
    <row r="1" spans="1:14" x14ac:dyDescent="0.35">
      <c r="A1" s="1" t="s">
        <v>264</v>
      </c>
      <c r="B1" s="3" t="s">
        <v>259</v>
      </c>
      <c r="C1" s="3" t="s">
        <v>260</v>
      </c>
      <c r="D1" s="3" t="s">
        <v>261</v>
      </c>
      <c r="E1" s="3" t="s">
        <v>262</v>
      </c>
      <c r="F1" s="3" t="s">
        <v>265</v>
      </c>
      <c r="G1" s="3" t="s">
        <v>407</v>
      </c>
    </row>
    <row r="2" spans="1:14" x14ac:dyDescent="0.35">
      <c r="A2" s="6" t="s">
        <v>228</v>
      </c>
      <c r="B2" s="7">
        <f>'FY23'!G2</f>
        <v>7074</v>
      </c>
      <c r="C2" s="7">
        <f>'FY24'!R2</f>
        <v>7215</v>
      </c>
      <c r="D2" s="7">
        <f>'FY25'!R2</f>
        <v>7309</v>
      </c>
      <c r="E2" s="7">
        <f>'FY26'!R2</f>
        <v>7404</v>
      </c>
      <c r="F2" s="7">
        <f>'FY27'!R2</f>
        <v>7500</v>
      </c>
      <c r="G2" s="7">
        <f>'FY28'!R2</f>
        <v>7598</v>
      </c>
      <c r="J2" s="121">
        <f>(C2-B2)/C2</f>
        <v>1.9542619542619544E-2</v>
      </c>
      <c r="K2" s="121">
        <f>(D2-C2)/D2</f>
        <v>1.2860856478314408E-2</v>
      </c>
      <c r="L2" s="121">
        <f>(E2-D2)/E2</f>
        <v>1.2830902215018909E-2</v>
      </c>
      <c r="M2" s="121">
        <f>(F2-E2)/F2</f>
        <v>1.2800000000000001E-2</v>
      </c>
      <c r="N2" s="121">
        <f>(G2-F2)/G2</f>
        <v>1.2898131087128192E-2</v>
      </c>
    </row>
    <row r="3" spans="1:14" hidden="1" x14ac:dyDescent="0.35">
      <c r="A3" s="8"/>
      <c r="B3" s="7">
        <f>'FY23'!G3</f>
        <v>0</v>
      </c>
      <c r="C3" s="7">
        <f>'FY24'!R3</f>
        <v>0</v>
      </c>
      <c r="D3" s="7">
        <f>'FY25'!R3</f>
        <v>0</v>
      </c>
      <c r="E3" s="7">
        <f>'FY26'!R3</f>
        <v>0</v>
      </c>
      <c r="F3" s="7">
        <f>'FY27'!R3</f>
        <v>0</v>
      </c>
      <c r="G3" s="7">
        <f>'FY28'!R3</f>
        <v>0</v>
      </c>
    </row>
    <row r="4" spans="1:14" hidden="1" x14ac:dyDescent="0.35">
      <c r="A4" s="8"/>
      <c r="B4" s="7">
        <f>'FY23'!G4</f>
        <v>0</v>
      </c>
      <c r="C4" s="7">
        <f>'FY24'!R4</f>
        <v>0</v>
      </c>
      <c r="D4" s="7">
        <f>'FY25'!R4</f>
        <v>0</v>
      </c>
      <c r="E4" s="7">
        <f>'FY26'!R4</f>
        <v>0</v>
      </c>
      <c r="F4" s="7">
        <f>'FY27'!R4</f>
        <v>0</v>
      </c>
      <c r="G4" s="7">
        <f>'FY28'!R4</f>
        <v>0</v>
      </c>
    </row>
    <row r="5" spans="1:14" x14ac:dyDescent="0.35">
      <c r="A5" s="8" t="s">
        <v>0</v>
      </c>
      <c r="B5" s="9">
        <f>'FY23'!G5</f>
        <v>965</v>
      </c>
      <c r="C5" s="9">
        <f>'FY24'!R5</f>
        <v>1540</v>
      </c>
      <c r="D5" s="9">
        <f>'FY25'!R5</f>
        <v>1717</v>
      </c>
      <c r="E5" s="9">
        <f>'FY26'!R5</f>
        <v>1868</v>
      </c>
      <c r="F5" s="9">
        <f>'FY27'!R5</f>
        <v>1992</v>
      </c>
      <c r="G5" s="9">
        <f>'FY28'!R5</f>
        <v>1992</v>
      </c>
    </row>
    <row r="6" spans="1:14" x14ac:dyDescent="0.35">
      <c r="A6" s="10" t="s">
        <v>1</v>
      </c>
      <c r="B6" s="9">
        <f>'FY23'!G6</f>
        <v>100</v>
      </c>
      <c r="C6" s="9">
        <f>'FY24'!R6</f>
        <v>200</v>
      </c>
      <c r="D6" s="9">
        <f>'FY25'!R6</f>
        <v>200</v>
      </c>
      <c r="E6" s="9">
        <f>'FY26'!R6</f>
        <v>200</v>
      </c>
      <c r="F6" s="9">
        <f>'FY27'!R6</f>
        <v>200</v>
      </c>
      <c r="G6" s="9">
        <f>'FY28'!R6</f>
        <v>200</v>
      </c>
      <c r="I6" s="284">
        <f>B6/25</f>
        <v>4</v>
      </c>
      <c r="J6" s="284">
        <f t="shared" ref="J6:N6" si="0">C6/25</f>
        <v>8</v>
      </c>
      <c r="K6" s="284">
        <f t="shared" si="0"/>
        <v>8</v>
      </c>
      <c r="L6" s="284">
        <f t="shared" si="0"/>
        <v>8</v>
      </c>
      <c r="M6" s="284">
        <f t="shared" si="0"/>
        <v>8</v>
      </c>
      <c r="N6" s="284">
        <f t="shared" si="0"/>
        <v>8</v>
      </c>
    </row>
    <row r="7" spans="1:14" x14ac:dyDescent="0.35">
      <c r="A7" s="12" t="s">
        <v>2</v>
      </c>
      <c r="B7" s="9">
        <f>'FY23'!G7</f>
        <v>104</v>
      </c>
      <c r="C7" s="9">
        <f>'FY24'!R7</f>
        <v>208</v>
      </c>
      <c r="D7" s="9">
        <f>'FY25'!R7</f>
        <v>208</v>
      </c>
      <c r="E7" s="9">
        <f>'FY26'!R7</f>
        <v>208</v>
      </c>
      <c r="F7" s="9">
        <f>'FY27'!R7</f>
        <v>208</v>
      </c>
      <c r="G7" s="9">
        <f>'FY28'!R7</f>
        <v>208</v>
      </c>
      <c r="I7" s="284">
        <f>B7/26</f>
        <v>4</v>
      </c>
      <c r="J7" s="284">
        <f t="shared" ref="J7:N10" si="1">C7/26</f>
        <v>8</v>
      </c>
      <c r="K7" s="284">
        <f t="shared" si="1"/>
        <v>8</v>
      </c>
      <c r="L7" s="284">
        <f t="shared" si="1"/>
        <v>8</v>
      </c>
      <c r="M7" s="284">
        <f t="shared" si="1"/>
        <v>8</v>
      </c>
      <c r="N7" s="284">
        <f t="shared" si="1"/>
        <v>8</v>
      </c>
    </row>
    <row r="8" spans="1:14" x14ac:dyDescent="0.35">
      <c r="A8" s="12" t="s">
        <v>3</v>
      </c>
      <c r="B8" s="9">
        <f>'FY23'!G8</f>
        <v>104</v>
      </c>
      <c r="C8" s="9">
        <f>'FY24'!R8</f>
        <v>208</v>
      </c>
      <c r="D8" s="9">
        <f>'FY25'!R8</f>
        <v>208</v>
      </c>
      <c r="E8" s="9">
        <f>'FY26'!R8</f>
        <v>208</v>
      </c>
      <c r="F8" s="9">
        <f>'FY27'!R8</f>
        <v>208</v>
      </c>
      <c r="G8" s="9">
        <f>'FY28'!R8</f>
        <v>208</v>
      </c>
      <c r="I8" s="284">
        <f t="shared" ref="I8:I10" si="2">B8/26</f>
        <v>4</v>
      </c>
      <c r="J8" s="284">
        <f t="shared" si="1"/>
        <v>8</v>
      </c>
      <c r="K8" s="284">
        <f t="shared" si="1"/>
        <v>8</v>
      </c>
      <c r="L8" s="284">
        <f t="shared" si="1"/>
        <v>8</v>
      </c>
      <c r="M8" s="284">
        <f t="shared" si="1"/>
        <v>8</v>
      </c>
      <c r="N8" s="284">
        <f t="shared" si="1"/>
        <v>8</v>
      </c>
    </row>
    <row r="9" spans="1:14" x14ac:dyDescent="0.35">
      <c r="A9" s="13" t="s">
        <v>4</v>
      </c>
      <c r="B9" s="9">
        <f>'FY23'!G9</f>
        <v>104</v>
      </c>
      <c r="C9" s="9">
        <f>'FY24'!R9</f>
        <v>208</v>
      </c>
      <c r="D9" s="9">
        <f>'FY25'!R9</f>
        <v>208</v>
      </c>
      <c r="E9" s="9">
        <f>'FY26'!R9</f>
        <v>208</v>
      </c>
      <c r="F9" s="9">
        <f>'FY27'!R9</f>
        <v>208</v>
      </c>
      <c r="G9" s="9">
        <f>'FY28'!R9</f>
        <v>208</v>
      </c>
      <c r="I9" s="284">
        <f t="shared" si="2"/>
        <v>4</v>
      </c>
      <c r="J9" s="284">
        <f t="shared" si="1"/>
        <v>8</v>
      </c>
      <c r="K9" s="284">
        <f t="shared" si="1"/>
        <v>8</v>
      </c>
      <c r="L9" s="284">
        <f t="shared" si="1"/>
        <v>8</v>
      </c>
      <c r="M9" s="284">
        <f t="shared" si="1"/>
        <v>8</v>
      </c>
      <c r="N9" s="284">
        <f t="shared" si="1"/>
        <v>8</v>
      </c>
    </row>
    <row r="10" spans="1:14" x14ac:dyDescent="0.35">
      <c r="A10" s="13" t="s">
        <v>5</v>
      </c>
      <c r="B10" s="9">
        <f>'FY23'!G10</f>
        <v>104</v>
      </c>
      <c r="C10" s="9">
        <f>'FY24'!R10</f>
        <v>182</v>
      </c>
      <c r="D10" s="9">
        <f>'FY25'!R10</f>
        <v>208</v>
      </c>
      <c r="E10" s="9">
        <f>'FY26'!R10</f>
        <v>208</v>
      </c>
      <c r="F10" s="9">
        <f>'FY27'!R10</f>
        <v>208</v>
      </c>
      <c r="G10" s="9">
        <f>'FY28'!R10</f>
        <v>208</v>
      </c>
      <c r="I10" s="284">
        <f t="shared" si="2"/>
        <v>4</v>
      </c>
      <c r="J10" s="284">
        <f t="shared" si="1"/>
        <v>7</v>
      </c>
      <c r="K10" s="284">
        <f t="shared" si="1"/>
        <v>8</v>
      </c>
      <c r="L10" s="284">
        <f t="shared" si="1"/>
        <v>8</v>
      </c>
      <c r="M10" s="284">
        <f t="shared" si="1"/>
        <v>8</v>
      </c>
      <c r="N10" s="284">
        <f t="shared" si="1"/>
        <v>8</v>
      </c>
    </row>
    <row r="11" spans="1:14" x14ac:dyDescent="0.35">
      <c r="A11" s="13" t="s">
        <v>6</v>
      </c>
      <c r="B11" s="9">
        <f>'FY23'!G11</f>
        <v>108</v>
      </c>
      <c r="C11" s="9">
        <f>'FY24'!R11</f>
        <v>162</v>
      </c>
      <c r="D11" s="9">
        <f>'FY25'!R11</f>
        <v>189</v>
      </c>
      <c r="E11" s="9">
        <f>'FY26'!R11</f>
        <v>216</v>
      </c>
      <c r="F11" s="9">
        <f>'FY27'!R11</f>
        <v>216</v>
      </c>
      <c r="G11" s="9">
        <f>'FY28'!R11</f>
        <v>216</v>
      </c>
      <c r="I11" s="284">
        <f>B11/27</f>
        <v>4</v>
      </c>
      <c r="J11" s="284">
        <f t="shared" ref="J11:N11" si="3">C11/27</f>
        <v>6</v>
      </c>
      <c r="K11" s="284">
        <f t="shared" si="3"/>
        <v>7</v>
      </c>
      <c r="L11" s="284">
        <f t="shared" si="3"/>
        <v>8</v>
      </c>
      <c r="M11" s="284">
        <f t="shared" si="3"/>
        <v>8</v>
      </c>
      <c r="N11" s="284">
        <f t="shared" si="3"/>
        <v>8</v>
      </c>
    </row>
    <row r="12" spans="1:14" x14ac:dyDescent="0.35">
      <c r="A12" s="13" t="s">
        <v>7</v>
      </c>
      <c r="B12" s="9">
        <f>'FY23'!G12</f>
        <v>124</v>
      </c>
      <c r="C12" s="9">
        <f>'FY24'!R12</f>
        <v>124</v>
      </c>
      <c r="D12" s="9">
        <f>'FY25'!R12</f>
        <v>248</v>
      </c>
      <c r="E12" s="9">
        <f>'FY26'!R12</f>
        <v>248</v>
      </c>
      <c r="F12" s="9">
        <f>'FY27'!R12</f>
        <v>248</v>
      </c>
      <c r="G12" s="9">
        <f>'FY28'!R12</f>
        <v>248</v>
      </c>
      <c r="I12" s="284">
        <f>B12/31</f>
        <v>4</v>
      </c>
      <c r="J12" s="284">
        <f t="shared" ref="J12:N14" si="4">C12/31</f>
        <v>4</v>
      </c>
      <c r="K12" s="284">
        <f t="shared" si="4"/>
        <v>8</v>
      </c>
      <c r="L12" s="284">
        <f t="shared" si="4"/>
        <v>8</v>
      </c>
      <c r="M12" s="284">
        <f t="shared" si="4"/>
        <v>8</v>
      </c>
      <c r="N12" s="284">
        <f t="shared" si="4"/>
        <v>8</v>
      </c>
    </row>
    <row r="13" spans="1:14" x14ac:dyDescent="0.35">
      <c r="A13" s="13" t="s">
        <v>8</v>
      </c>
      <c r="B13" s="9">
        <f>'FY23'!G13</f>
        <v>124</v>
      </c>
      <c r="C13" s="9">
        <f>'FY24'!R13</f>
        <v>124</v>
      </c>
      <c r="D13" s="9">
        <f>'FY25'!R13</f>
        <v>124</v>
      </c>
      <c r="E13" s="9">
        <f>'FY26'!R13</f>
        <v>248</v>
      </c>
      <c r="F13" s="9">
        <f>'FY27'!R13</f>
        <v>248</v>
      </c>
      <c r="G13" s="9">
        <f>'FY28'!R13</f>
        <v>248</v>
      </c>
      <c r="I13" s="284">
        <f t="shared" ref="I13:I14" si="5">B13/31</f>
        <v>4</v>
      </c>
      <c r="J13" s="284">
        <f t="shared" si="4"/>
        <v>4</v>
      </c>
      <c r="K13" s="284">
        <f t="shared" si="4"/>
        <v>4</v>
      </c>
      <c r="L13" s="284">
        <f t="shared" si="4"/>
        <v>8</v>
      </c>
      <c r="M13" s="284">
        <f t="shared" si="4"/>
        <v>8</v>
      </c>
      <c r="N13" s="284">
        <f t="shared" si="4"/>
        <v>8</v>
      </c>
    </row>
    <row r="14" spans="1:14" x14ac:dyDescent="0.35">
      <c r="A14" s="13" t="s">
        <v>9</v>
      </c>
      <c r="B14" s="9">
        <f>'FY23'!G14</f>
        <v>93</v>
      </c>
      <c r="C14" s="9">
        <f>'FY24'!R14</f>
        <v>124</v>
      </c>
      <c r="D14" s="9">
        <f>'FY25'!R14</f>
        <v>124</v>
      </c>
      <c r="E14" s="9">
        <f>'FY26'!R14</f>
        <v>124</v>
      </c>
      <c r="F14" s="9">
        <f>'FY27'!R14</f>
        <v>248</v>
      </c>
      <c r="G14" s="9">
        <f>'FY28'!R14</f>
        <v>248</v>
      </c>
      <c r="I14" s="284">
        <f t="shared" si="5"/>
        <v>3</v>
      </c>
      <c r="J14" s="284">
        <f t="shared" si="4"/>
        <v>4</v>
      </c>
      <c r="K14" s="284">
        <f t="shared" si="4"/>
        <v>4</v>
      </c>
      <c r="L14" s="284">
        <f t="shared" si="4"/>
        <v>4</v>
      </c>
      <c r="M14" s="284">
        <f t="shared" si="4"/>
        <v>8</v>
      </c>
      <c r="N14" s="284">
        <f t="shared" si="4"/>
        <v>8</v>
      </c>
    </row>
    <row r="15" spans="1:14" x14ac:dyDescent="0.35">
      <c r="A15" s="13" t="s">
        <v>10</v>
      </c>
      <c r="B15" s="9">
        <f>'FY23'!G15</f>
        <v>0</v>
      </c>
      <c r="C15" s="9">
        <f>'FY24'!R15</f>
        <v>0</v>
      </c>
      <c r="D15" s="9">
        <f>'FY25'!R15</f>
        <v>0</v>
      </c>
      <c r="E15" s="9">
        <f>'FY26'!R15</f>
        <v>0</v>
      </c>
      <c r="F15" s="9">
        <f>'FY27'!R15</f>
        <v>0</v>
      </c>
      <c r="G15" s="9">
        <f>'FY28'!R15</f>
        <v>0</v>
      </c>
      <c r="I15" s="284"/>
      <c r="J15" s="284"/>
      <c r="K15" s="284"/>
      <c r="L15" s="284"/>
      <c r="M15" s="284"/>
      <c r="N15" s="284"/>
    </row>
    <row r="16" spans="1:14" x14ac:dyDescent="0.35">
      <c r="A16" s="13" t="s">
        <v>11</v>
      </c>
      <c r="B16" s="9">
        <f>'FY23'!G16</f>
        <v>0</v>
      </c>
      <c r="C16" s="9">
        <f>'FY24'!R16</f>
        <v>0</v>
      </c>
      <c r="D16" s="9">
        <f>'FY25'!R16</f>
        <v>0</v>
      </c>
      <c r="E16" s="9">
        <f>'FY26'!R16</f>
        <v>0</v>
      </c>
      <c r="F16" s="9">
        <f>'FY27'!R16</f>
        <v>0</v>
      </c>
      <c r="G16" s="9">
        <f>'FY28'!R16</f>
        <v>0</v>
      </c>
      <c r="I16" s="284"/>
      <c r="J16" s="284"/>
      <c r="K16" s="284"/>
      <c r="L16" s="284"/>
      <c r="M16" s="284"/>
      <c r="N16" s="284"/>
    </row>
    <row r="17" spans="1:14" x14ac:dyDescent="0.35">
      <c r="A17" s="13" t="s">
        <v>12</v>
      </c>
      <c r="B17" s="9">
        <f>'FY23'!G17</f>
        <v>0</v>
      </c>
      <c r="C17" s="9">
        <f>'FY24'!R17</f>
        <v>0</v>
      </c>
      <c r="D17" s="9">
        <f>'FY25'!R17</f>
        <v>0</v>
      </c>
      <c r="E17" s="9">
        <f>'FY26'!R17</f>
        <v>0</v>
      </c>
      <c r="F17" s="9">
        <f>'FY27'!R17</f>
        <v>0</v>
      </c>
      <c r="G17" s="9">
        <f>'FY28'!R17</f>
        <v>0</v>
      </c>
      <c r="I17" s="284"/>
      <c r="J17" s="284"/>
      <c r="K17" s="284"/>
      <c r="L17" s="284"/>
      <c r="M17" s="284"/>
      <c r="N17" s="284"/>
    </row>
    <row r="18" spans="1:14" x14ac:dyDescent="0.35">
      <c r="A18" s="13" t="s">
        <v>13</v>
      </c>
      <c r="B18" s="9">
        <f>'FY23'!G18</f>
        <v>0</v>
      </c>
      <c r="C18" s="9">
        <f>'FY24'!R18</f>
        <v>0</v>
      </c>
      <c r="D18" s="9">
        <f>'FY25'!R18</f>
        <v>0</v>
      </c>
      <c r="E18" s="9">
        <f>'FY26'!R18</f>
        <v>0</v>
      </c>
      <c r="F18" s="9">
        <f>'FY27'!R18</f>
        <v>0</v>
      </c>
      <c r="G18" s="9">
        <f>'FY28'!R18</f>
        <v>0</v>
      </c>
      <c r="I18" s="284"/>
      <c r="J18" s="284"/>
      <c r="K18" s="284"/>
      <c r="L18" s="284"/>
      <c r="M18" s="284"/>
      <c r="N18" s="284"/>
    </row>
    <row r="19" spans="1:14" x14ac:dyDescent="0.35">
      <c r="A19" s="13" t="s">
        <v>0</v>
      </c>
      <c r="B19" s="9">
        <f>'FY23'!G19</f>
        <v>965</v>
      </c>
      <c r="C19" s="9">
        <f>'FY24'!R19</f>
        <v>1540</v>
      </c>
      <c r="D19" s="9">
        <f>'FY25'!R19</f>
        <v>1717</v>
      </c>
      <c r="E19" s="9">
        <f>'FY26'!R19</f>
        <v>1868</v>
      </c>
      <c r="F19" s="9">
        <f>'FY27'!R19</f>
        <v>1992</v>
      </c>
      <c r="G19" s="9">
        <f>'FY28'!R19</f>
        <v>1992</v>
      </c>
      <c r="I19" s="284">
        <f>SUM(I6:I18)</f>
        <v>35</v>
      </c>
      <c r="J19" s="284">
        <f t="shared" ref="J19:N19" si="6">SUM(J6:J18)</f>
        <v>57</v>
      </c>
      <c r="K19" s="284">
        <f t="shared" si="6"/>
        <v>63</v>
      </c>
      <c r="L19" s="284">
        <f t="shared" si="6"/>
        <v>68</v>
      </c>
      <c r="M19" s="284">
        <f t="shared" si="6"/>
        <v>72</v>
      </c>
      <c r="N19" s="284">
        <f t="shared" si="6"/>
        <v>72</v>
      </c>
    </row>
    <row r="20" spans="1:14" x14ac:dyDescent="0.35">
      <c r="A20" s="16"/>
      <c r="B20" s="7"/>
      <c r="C20" s="7"/>
      <c r="D20" s="7"/>
      <c r="E20" s="7"/>
      <c r="F20" s="7"/>
      <c r="G20" s="7"/>
    </row>
    <row r="21" spans="1:14" x14ac:dyDescent="0.35">
      <c r="A21" s="17" t="s">
        <v>14</v>
      </c>
      <c r="B21" s="18"/>
      <c r="C21" s="18"/>
      <c r="D21" s="18"/>
      <c r="E21" s="18"/>
      <c r="F21" s="18"/>
      <c r="G21" s="18"/>
    </row>
    <row r="22" spans="1:14" x14ac:dyDescent="0.35">
      <c r="A22" s="144" t="s">
        <v>207</v>
      </c>
      <c r="B22" s="94">
        <f>'FY23'!G22</f>
        <v>100</v>
      </c>
      <c r="C22" s="94">
        <f>'FY24'!R22</f>
        <v>200.48000000000002</v>
      </c>
      <c r="D22" s="94">
        <f>'FY25'!R22</f>
        <v>200.48000000000002</v>
      </c>
      <c r="E22" s="94">
        <f>'FY26'!R22</f>
        <v>230.57</v>
      </c>
      <c r="F22" s="94">
        <f>'FY27'!R22</f>
        <v>256.24</v>
      </c>
      <c r="G22" s="94">
        <f>'FY28'!R22</f>
        <v>276.64</v>
      </c>
    </row>
    <row r="23" spans="1:14" x14ac:dyDescent="0.35">
      <c r="A23" s="144" t="s">
        <v>208</v>
      </c>
      <c r="B23" s="94">
        <f>'FY23'!G23</f>
        <v>6</v>
      </c>
      <c r="C23" s="94">
        <f>'FY24'!R23</f>
        <v>3</v>
      </c>
      <c r="D23" s="94">
        <f>'FY25'!R23</f>
        <v>111.80000000000001</v>
      </c>
      <c r="E23" s="94">
        <f>'FY26'!R23</f>
        <v>147.20000000000002</v>
      </c>
      <c r="F23" s="94">
        <f>'FY27'!R23</f>
        <v>177.4</v>
      </c>
      <c r="G23" s="94">
        <f>'FY28'!R23</f>
        <v>201.4</v>
      </c>
    </row>
    <row r="24" spans="1:14" x14ac:dyDescent="0.35">
      <c r="A24" s="144" t="s">
        <v>209</v>
      </c>
      <c r="B24" s="94">
        <f>'FY23'!G24</f>
        <v>61</v>
      </c>
      <c r="C24" s="94">
        <f>'FY24'!R24</f>
        <v>53</v>
      </c>
      <c r="D24" s="94">
        <f>'FY25'!R24</f>
        <v>73</v>
      </c>
      <c r="E24" s="94">
        <f>'FY26'!R24</f>
        <v>78</v>
      </c>
      <c r="F24" s="94">
        <f>'FY27'!R24</f>
        <v>86</v>
      </c>
      <c r="G24" s="94">
        <f>'FY28'!R24</f>
        <v>91</v>
      </c>
    </row>
    <row r="25" spans="1:14" x14ac:dyDescent="0.35">
      <c r="A25" s="144" t="s">
        <v>16</v>
      </c>
      <c r="B25" s="203">
        <f>'FY23'!G25</f>
        <v>6.4899999999999999E-2</v>
      </c>
      <c r="C25" s="203">
        <f>'FY24'!R25</f>
        <v>0.258961038961039</v>
      </c>
      <c r="D25" s="203">
        <f>'FY25'!R25</f>
        <v>0.28896330809551546</v>
      </c>
      <c r="E25" s="203">
        <f>'FY26'!R25</f>
        <v>0.3100642398286938</v>
      </c>
      <c r="F25" s="203">
        <f>'FY27'!R25</f>
        <v>0.32500000000000007</v>
      </c>
      <c r="G25" s="203">
        <f>'FY28'!R25</f>
        <v>0.32500000000000007</v>
      </c>
    </row>
    <row r="26" spans="1:14" x14ac:dyDescent="0.35">
      <c r="A26" s="144" t="s">
        <v>210</v>
      </c>
      <c r="B26" s="94">
        <f>'FY23'!G26</f>
        <v>43</v>
      </c>
      <c r="C26" s="94">
        <f>'FY24'!R26</f>
        <v>55</v>
      </c>
      <c r="D26" s="94">
        <f>'FY25'!R26</f>
        <v>226.35999999999996</v>
      </c>
      <c r="E26" s="94">
        <f>'FY26'!R26</f>
        <v>282.11500000000001</v>
      </c>
      <c r="F26" s="94">
        <f>'FY27'!R26</f>
        <v>329.67999999999995</v>
      </c>
      <c r="G26" s="94">
        <f>'FY28'!R26</f>
        <v>367.47999999999996</v>
      </c>
    </row>
    <row r="27" spans="1:14" x14ac:dyDescent="0.35">
      <c r="A27" s="20"/>
      <c r="B27" s="94">
        <f>'FY23'!G27</f>
        <v>0</v>
      </c>
      <c r="C27" s="94">
        <f>'FY24'!R27</f>
        <v>0</v>
      </c>
      <c r="D27" s="94">
        <f>'FY25'!R27</f>
        <v>0</v>
      </c>
      <c r="E27" s="94">
        <f>'FY26'!R27</f>
        <v>0</v>
      </c>
      <c r="F27" s="94">
        <f>'FY27'!R27</f>
        <v>0</v>
      </c>
      <c r="G27" s="94">
        <f>'FY28'!R27</f>
        <v>0</v>
      </c>
    </row>
    <row r="28" spans="1:14" x14ac:dyDescent="0.35">
      <c r="A28" s="17" t="s">
        <v>17</v>
      </c>
      <c r="B28" s="18"/>
      <c r="C28" s="18"/>
      <c r="D28" s="18"/>
      <c r="E28" s="18"/>
      <c r="F28" s="18"/>
      <c r="G28" s="18"/>
    </row>
    <row r="29" spans="1:14" x14ac:dyDescent="0.35">
      <c r="A29" s="21" t="s">
        <v>18</v>
      </c>
      <c r="B29" s="157">
        <f>'FY23'!G29</f>
        <v>35</v>
      </c>
      <c r="C29" s="157">
        <f>'FY24'!R29</f>
        <v>57</v>
      </c>
      <c r="D29" s="157">
        <f>'FY25'!R29</f>
        <v>63</v>
      </c>
      <c r="E29" s="157">
        <f>'FY26'!R29</f>
        <v>68</v>
      </c>
      <c r="F29" s="157">
        <f>'FY27'!R29</f>
        <v>72</v>
      </c>
      <c r="G29" s="157">
        <f>'FY28'!R29</f>
        <v>72</v>
      </c>
    </row>
    <row r="30" spans="1:14" x14ac:dyDescent="0.35">
      <c r="A30" s="21" t="s">
        <v>19</v>
      </c>
      <c r="B30" s="157">
        <f>'FY23'!G30</f>
        <v>3</v>
      </c>
      <c r="C30" s="157">
        <f>'FY24'!R30</f>
        <v>7.5</v>
      </c>
      <c r="D30" s="157">
        <f>'FY25'!R30</f>
        <v>7.5</v>
      </c>
      <c r="E30" s="157">
        <f>'FY26'!R30</f>
        <v>8.5</v>
      </c>
      <c r="F30" s="157">
        <f>'FY27'!R30</f>
        <v>9.5</v>
      </c>
      <c r="G30" s="157">
        <f>'FY28'!R30</f>
        <v>10.5</v>
      </c>
    </row>
    <row r="31" spans="1:14" x14ac:dyDescent="0.35">
      <c r="A31" s="21" t="s">
        <v>20</v>
      </c>
      <c r="B31" s="157">
        <f>'FY23'!G31</f>
        <v>2</v>
      </c>
      <c r="C31" s="157">
        <f>'FY24'!R31</f>
        <v>3</v>
      </c>
      <c r="D31" s="157">
        <f>'FY25'!R31</f>
        <v>3</v>
      </c>
      <c r="E31" s="157">
        <f>'FY26'!R31</f>
        <v>4</v>
      </c>
      <c r="F31" s="157">
        <f>'FY27'!R31</f>
        <v>4</v>
      </c>
      <c r="G31" s="157">
        <f>'FY28'!R31</f>
        <v>4</v>
      </c>
    </row>
    <row r="32" spans="1:14" x14ac:dyDescent="0.35">
      <c r="A32" s="21" t="s">
        <v>21</v>
      </c>
      <c r="B32" s="157">
        <f>'FY23'!G32</f>
        <v>1</v>
      </c>
      <c r="C32" s="157">
        <f>'FY24'!R32</f>
        <v>2</v>
      </c>
      <c r="D32" s="157">
        <f>'FY25'!R32</f>
        <v>2</v>
      </c>
      <c r="E32" s="157">
        <f>'FY26'!R32</f>
        <v>2</v>
      </c>
      <c r="F32" s="157">
        <f>'FY27'!R32</f>
        <v>2</v>
      </c>
      <c r="G32" s="157">
        <f>'FY28'!R32</f>
        <v>2</v>
      </c>
    </row>
    <row r="33" spans="1:10" x14ac:dyDescent="0.35">
      <c r="A33" s="21" t="s">
        <v>22</v>
      </c>
      <c r="B33" s="157">
        <f>'FY23'!G33</f>
        <v>1</v>
      </c>
      <c r="C33" s="157">
        <f>'FY24'!R33</f>
        <v>2</v>
      </c>
      <c r="D33" s="157">
        <f>'FY25'!R33</f>
        <v>2</v>
      </c>
      <c r="E33" s="157">
        <f>'FY26'!R33</f>
        <v>2</v>
      </c>
      <c r="F33" s="157">
        <f>'FY27'!R33</f>
        <v>2</v>
      </c>
      <c r="G33" s="157">
        <f>'FY28'!R33</f>
        <v>2</v>
      </c>
    </row>
    <row r="34" spans="1:10" x14ac:dyDescent="0.35">
      <c r="A34" s="24" t="s">
        <v>23</v>
      </c>
      <c r="B34" s="157">
        <f>'FY23'!G34</f>
        <v>0</v>
      </c>
      <c r="C34" s="157">
        <f>'FY24'!R34</f>
        <v>0</v>
      </c>
      <c r="D34" s="157">
        <f>'FY25'!R34</f>
        <v>0</v>
      </c>
      <c r="E34" s="157">
        <f>'FY26'!R34</f>
        <v>0</v>
      </c>
      <c r="F34" s="157">
        <f>'FY27'!R34</f>
        <v>0</v>
      </c>
      <c r="G34" s="157">
        <f>'FY28'!R34</f>
        <v>0</v>
      </c>
    </row>
    <row r="35" spans="1:10" x14ac:dyDescent="0.35">
      <c r="A35" s="27" t="s">
        <v>24</v>
      </c>
      <c r="B35" s="157">
        <f>'FY23'!G35</f>
        <v>0</v>
      </c>
      <c r="C35" s="157">
        <f>'FY24'!R35</f>
        <v>0</v>
      </c>
      <c r="D35" s="157">
        <f>'FY25'!R35</f>
        <v>0</v>
      </c>
      <c r="E35" s="157">
        <f>'FY26'!R35</f>
        <v>0</v>
      </c>
      <c r="F35" s="157">
        <f>'FY27'!R35</f>
        <v>0</v>
      </c>
      <c r="G35" s="157">
        <f>'FY28'!R35</f>
        <v>0</v>
      </c>
    </row>
    <row r="36" spans="1:10" x14ac:dyDescent="0.35">
      <c r="A36" s="28" t="s">
        <v>25</v>
      </c>
      <c r="B36" s="157">
        <f>'FY23'!G36</f>
        <v>0</v>
      </c>
      <c r="C36" s="157">
        <f>'FY24'!R36</f>
        <v>0</v>
      </c>
      <c r="D36" s="157">
        <f>'FY25'!R36</f>
        <v>0</v>
      </c>
      <c r="E36" s="157">
        <f>'FY26'!R36</f>
        <v>0</v>
      </c>
      <c r="F36" s="157">
        <f>'FY27'!R36</f>
        <v>0</v>
      </c>
      <c r="G36" s="157">
        <f>'FY28'!R36</f>
        <v>0</v>
      </c>
    </row>
    <row r="37" spans="1:10" x14ac:dyDescent="0.35">
      <c r="A37" s="27" t="s">
        <v>26</v>
      </c>
      <c r="B37" s="157">
        <f>'FY23'!G37</f>
        <v>1</v>
      </c>
      <c r="C37" s="157">
        <f>'FY24'!R37</f>
        <v>1.5</v>
      </c>
      <c r="D37" s="157">
        <f>'FY25'!R37</f>
        <v>2</v>
      </c>
      <c r="E37" s="157">
        <f>'FY26'!R37</f>
        <v>2</v>
      </c>
      <c r="F37" s="157">
        <f>'FY27'!R37</f>
        <v>2</v>
      </c>
      <c r="G37" s="157">
        <f>'FY28'!R37</f>
        <v>2</v>
      </c>
    </row>
    <row r="38" spans="1:10" x14ac:dyDescent="0.35">
      <c r="A38" s="27" t="s">
        <v>27</v>
      </c>
      <c r="B38" s="157">
        <f>'FY23'!G38</f>
        <v>0.5</v>
      </c>
      <c r="C38" s="157">
        <f>'FY24'!R38</f>
        <v>1</v>
      </c>
      <c r="D38" s="157">
        <f>'FY25'!R38</f>
        <v>1</v>
      </c>
      <c r="E38" s="157">
        <f>'FY26'!R38</f>
        <v>1</v>
      </c>
      <c r="F38" s="157">
        <f>'FY27'!R38</f>
        <v>1</v>
      </c>
      <c r="G38" s="157">
        <f>'FY28'!R38</f>
        <v>1</v>
      </c>
    </row>
    <row r="39" spans="1:10" x14ac:dyDescent="0.35">
      <c r="A39" s="29" t="s">
        <v>28</v>
      </c>
      <c r="B39" s="30">
        <f t="shared" ref="B39" si="7">SUM(B29:B38)</f>
        <v>43.5</v>
      </c>
      <c r="C39" s="30">
        <f t="shared" ref="C39" si="8">SUM(C29:C38)</f>
        <v>74</v>
      </c>
      <c r="D39" s="30">
        <f t="shared" ref="D39:E39" si="9">SUM(D29:D38)</f>
        <v>80.5</v>
      </c>
      <c r="E39" s="30">
        <f t="shared" si="9"/>
        <v>87.5</v>
      </c>
      <c r="F39" s="30">
        <f t="shared" ref="F39:G39" si="10">SUM(F29:F38)</f>
        <v>92.5</v>
      </c>
      <c r="G39" s="30">
        <f t="shared" si="10"/>
        <v>93.5</v>
      </c>
    </row>
    <row r="40" spans="1:10" x14ac:dyDescent="0.35">
      <c r="A40" s="31"/>
      <c r="B40" s="23"/>
      <c r="C40" s="23"/>
      <c r="D40" s="23"/>
      <c r="E40" s="23"/>
      <c r="F40" s="23"/>
      <c r="G40" s="23"/>
      <c r="J40" s="122"/>
    </row>
    <row r="41" spans="1:10" x14ac:dyDescent="0.35">
      <c r="A41" s="17" t="s">
        <v>29</v>
      </c>
      <c r="B41" s="32"/>
      <c r="C41" s="32"/>
      <c r="D41" s="32"/>
      <c r="E41" s="32"/>
      <c r="F41" s="32"/>
      <c r="G41" s="32"/>
    </row>
    <row r="42" spans="1:10" x14ac:dyDescent="0.35">
      <c r="A42" s="21" t="s">
        <v>30</v>
      </c>
      <c r="B42" s="157">
        <f>'FY23'!G42</f>
        <v>1</v>
      </c>
      <c r="C42" s="157">
        <f>'FY24'!R42</f>
        <v>2</v>
      </c>
      <c r="D42" s="157">
        <f>'FY25'!R42</f>
        <v>2</v>
      </c>
      <c r="E42" s="157">
        <f>'FY26'!R42</f>
        <v>2</v>
      </c>
      <c r="F42" s="157">
        <f>'FY27'!R42</f>
        <v>2</v>
      </c>
      <c r="G42" s="157">
        <f>'FY28'!R42</f>
        <v>2</v>
      </c>
    </row>
    <row r="43" spans="1:10" x14ac:dyDescent="0.35">
      <c r="A43" s="21" t="s">
        <v>31</v>
      </c>
      <c r="B43" s="157">
        <f>'FY23'!G43</f>
        <v>1</v>
      </c>
      <c r="C43" s="157">
        <f>'FY24'!R43</f>
        <v>2</v>
      </c>
      <c r="D43" s="157">
        <f>'FY25'!R43</f>
        <v>3</v>
      </c>
      <c r="E43" s="157">
        <f>'FY26'!R43</f>
        <v>3</v>
      </c>
      <c r="F43" s="157">
        <f>'FY27'!R43</f>
        <v>4</v>
      </c>
      <c r="G43" s="157">
        <f>'FY28'!R43</f>
        <v>4</v>
      </c>
    </row>
    <row r="44" spans="1:10" x14ac:dyDescent="0.35">
      <c r="A44" s="34" t="s">
        <v>234</v>
      </c>
      <c r="B44" s="157">
        <f>'FY23'!G44</f>
        <v>1</v>
      </c>
      <c r="C44" s="157">
        <f>'FY24'!R44</f>
        <v>1</v>
      </c>
      <c r="D44" s="157">
        <f>'FY25'!R44</f>
        <v>1</v>
      </c>
      <c r="E44" s="157">
        <f>'FY26'!R44</f>
        <v>1</v>
      </c>
      <c r="F44" s="157">
        <f>'FY27'!R44</f>
        <v>1</v>
      </c>
      <c r="G44" s="157">
        <f>'FY28'!R44</f>
        <v>1</v>
      </c>
    </row>
    <row r="45" spans="1:10" x14ac:dyDescent="0.35">
      <c r="A45" s="34" t="s">
        <v>252</v>
      </c>
      <c r="B45" s="157">
        <f>'FY23'!G45</f>
        <v>0</v>
      </c>
      <c r="C45" s="157">
        <f>'FY24'!R45</f>
        <v>1</v>
      </c>
      <c r="D45" s="157">
        <f>'FY25'!R45</f>
        <v>1</v>
      </c>
      <c r="E45" s="157">
        <f>'FY26'!R45</f>
        <v>1</v>
      </c>
      <c r="F45" s="157">
        <f>'FY27'!R45</f>
        <v>1</v>
      </c>
      <c r="G45" s="157">
        <f>'FY28'!R45</f>
        <v>1</v>
      </c>
    </row>
    <row r="46" spans="1:10" x14ac:dyDescent="0.35">
      <c r="A46" s="33" t="s">
        <v>32</v>
      </c>
      <c r="B46" s="157">
        <f>'FY23'!G46</f>
        <v>1</v>
      </c>
      <c r="C46" s="157">
        <f>'FY24'!R46</f>
        <v>1</v>
      </c>
      <c r="D46" s="157">
        <f>'FY25'!R46</f>
        <v>1</v>
      </c>
      <c r="E46" s="157">
        <f>'FY26'!R46</f>
        <v>2</v>
      </c>
      <c r="F46" s="157">
        <f>'FY27'!R46</f>
        <v>2</v>
      </c>
      <c r="G46" s="157">
        <f>'FY28'!R46</f>
        <v>2</v>
      </c>
    </row>
    <row r="47" spans="1:10" x14ac:dyDescent="0.35">
      <c r="A47" s="33" t="s">
        <v>33</v>
      </c>
      <c r="B47" s="157">
        <f>'FY23'!G47</f>
        <v>1</v>
      </c>
      <c r="C47" s="157">
        <f>'FY24'!R47</f>
        <v>1</v>
      </c>
      <c r="D47" s="157">
        <f>'FY25'!R47</f>
        <v>2</v>
      </c>
      <c r="E47" s="157">
        <f>'FY26'!R47</f>
        <v>2</v>
      </c>
      <c r="F47" s="157">
        <f>'FY27'!R47</f>
        <v>2</v>
      </c>
      <c r="G47" s="157">
        <f>'FY28'!R47</f>
        <v>2</v>
      </c>
    </row>
    <row r="48" spans="1:10" x14ac:dyDescent="0.35">
      <c r="A48" s="21" t="s">
        <v>230</v>
      </c>
      <c r="B48" s="157">
        <f>'FY23'!G48</f>
        <v>2</v>
      </c>
      <c r="C48" s="157">
        <f>'FY24'!R48</f>
        <v>3</v>
      </c>
      <c r="D48" s="157">
        <f>'FY25'!R48</f>
        <v>3</v>
      </c>
      <c r="E48" s="157">
        <f>'FY26'!R48</f>
        <v>3</v>
      </c>
      <c r="F48" s="157">
        <f>'FY27'!R48</f>
        <v>3</v>
      </c>
      <c r="G48" s="157">
        <f>'FY28'!R48</f>
        <v>3</v>
      </c>
    </row>
    <row r="49" spans="1:7" x14ac:dyDescent="0.35">
      <c r="A49" s="21" t="s">
        <v>34</v>
      </c>
      <c r="B49" s="157">
        <f>'FY23'!G49</f>
        <v>1</v>
      </c>
      <c r="C49" s="157">
        <f>'FY24'!R49</f>
        <v>2</v>
      </c>
      <c r="D49" s="157">
        <f>'FY25'!R49</f>
        <v>2</v>
      </c>
      <c r="E49" s="157">
        <f>'FY26'!R49</f>
        <v>2</v>
      </c>
      <c r="F49" s="157">
        <f>'FY27'!R49</f>
        <v>2</v>
      </c>
      <c r="G49" s="157">
        <f>'FY28'!R49</f>
        <v>2</v>
      </c>
    </row>
    <row r="50" spans="1:7" x14ac:dyDescent="0.35">
      <c r="A50" s="21" t="s">
        <v>35</v>
      </c>
      <c r="B50" s="157">
        <f>'FY23'!G50</f>
        <v>1</v>
      </c>
      <c r="C50" s="157">
        <f>'FY24'!R50</f>
        <v>2</v>
      </c>
      <c r="D50" s="157">
        <f>'FY25'!R50</f>
        <v>2</v>
      </c>
      <c r="E50" s="157">
        <f>'FY26'!R50</f>
        <v>2</v>
      </c>
      <c r="F50" s="157">
        <f>'FY27'!R50</f>
        <v>2</v>
      </c>
      <c r="G50" s="157">
        <f>'FY28'!R50</f>
        <v>2</v>
      </c>
    </row>
    <row r="51" spans="1:7" x14ac:dyDescent="0.35">
      <c r="A51" s="21" t="s">
        <v>36</v>
      </c>
      <c r="B51" s="157">
        <f>'FY23'!G51</f>
        <v>1</v>
      </c>
      <c r="C51" s="157">
        <f>'FY24'!R51</f>
        <v>2</v>
      </c>
      <c r="D51" s="157">
        <f>'FY25'!R51</f>
        <v>2</v>
      </c>
      <c r="E51" s="157">
        <f>'FY26'!R51</f>
        <v>2</v>
      </c>
      <c r="F51" s="157">
        <f>'FY27'!R51</f>
        <v>2</v>
      </c>
      <c r="G51" s="157">
        <f>'FY28'!R51</f>
        <v>2</v>
      </c>
    </row>
    <row r="52" spans="1:7" x14ac:dyDescent="0.35">
      <c r="A52" s="21" t="s">
        <v>206</v>
      </c>
      <c r="B52" s="157">
        <f>'FY23'!G52</f>
        <v>7</v>
      </c>
      <c r="C52" s="157">
        <f>'FY24'!R52</f>
        <v>9</v>
      </c>
      <c r="D52" s="157">
        <f>'FY25'!R52</f>
        <v>12</v>
      </c>
      <c r="E52" s="157">
        <f>'FY26'!R52</f>
        <v>14</v>
      </c>
      <c r="F52" s="157">
        <f>'FY27'!R52</f>
        <v>16</v>
      </c>
      <c r="G52" s="157">
        <f>'FY28'!R52</f>
        <v>17</v>
      </c>
    </row>
    <row r="53" spans="1:7" x14ac:dyDescent="0.35">
      <c r="A53" s="21" t="s">
        <v>37</v>
      </c>
      <c r="B53" s="157">
        <f>'FY23'!G53</f>
        <v>1</v>
      </c>
      <c r="C53" s="157">
        <f>'FY24'!R53</f>
        <v>2</v>
      </c>
      <c r="D53" s="157">
        <f>'FY25'!R53</f>
        <v>2</v>
      </c>
      <c r="E53" s="157">
        <f>'FY26'!R53</f>
        <v>2</v>
      </c>
      <c r="F53" s="157">
        <f>'FY27'!R53</f>
        <v>2</v>
      </c>
      <c r="G53" s="157">
        <f>'FY28'!R53</f>
        <v>2</v>
      </c>
    </row>
    <row r="54" spans="1:7" x14ac:dyDescent="0.35">
      <c r="A54" s="21" t="s">
        <v>38</v>
      </c>
      <c r="B54" s="157">
        <f>'FY23'!G54</f>
        <v>1</v>
      </c>
      <c r="C54" s="157">
        <f>'FY24'!R54</f>
        <v>2</v>
      </c>
      <c r="D54" s="157">
        <f>'FY25'!R54</f>
        <v>2</v>
      </c>
      <c r="E54" s="157">
        <f>'FY26'!R54</f>
        <v>2</v>
      </c>
      <c r="F54" s="157">
        <f>'FY27'!R54</f>
        <v>2</v>
      </c>
      <c r="G54" s="157">
        <f>'FY28'!R54</f>
        <v>2</v>
      </c>
    </row>
    <row r="55" spans="1:7" x14ac:dyDescent="0.35">
      <c r="A55" s="21" t="s">
        <v>223</v>
      </c>
      <c r="B55" s="157">
        <f>'FY23'!G55</f>
        <v>0</v>
      </c>
      <c r="C55" s="157">
        <f>'FY24'!R55</f>
        <v>0</v>
      </c>
      <c r="D55" s="157">
        <f>'FY25'!R55</f>
        <v>0</v>
      </c>
      <c r="E55" s="157">
        <f>'FY26'!R55</f>
        <v>0</v>
      </c>
      <c r="F55" s="157">
        <f>'FY27'!R55</f>
        <v>0</v>
      </c>
      <c r="G55" s="157">
        <f>'FY28'!R55</f>
        <v>0</v>
      </c>
    </row>
    <row r="56" spans="1:7" x14ac:dyDescent="0.35">
      <c r="A56" s="34" t="s">
        <v>39</v>
      </c>
      <c r="B56" s="157">
        <f>'FY23'!G56</f>
        <v>0</v>
      </c>
      <c r="C56" s="157">
        <f>'FY24'!R56</f>
        <v>0</v>
      </c>
      <c r="D56" s="157">
        <f>'FY25'!R56</f>
        <v>0</v>
      </c>
      <c r="E56" s="157">
        <f>'FY26'!R56</f>
        <v>0</v>
      </c>
      <c r="F56" s="157">
        <f>'FY27'!R56</f>
        <v>0</v>
      </c>
      <c r="G56" s="157">
        <f>'FY28'!R56</f>
        <v>0</v>
      </c>
    </row>
    <row r="57" spans="1:7" x14ac:dyDescent="0.35">
      <c r="A57" s="34" t="s">
        <v>40</v>
      </c>
      <c r="B57" s="157">
        <f>'FY23'!G57</f>
        <v>1</v>
      </c>
      <c r="C57" s="157">
        <f>'FY24'!R57</f>
        <v>1</v>
      </c>
      <c r="D57" s="157">
        <f>'FY25'!R57</f>
        <v>1</v>
      </c>
      <c r="E57" s="157">
        <f>'FY26'!R57</f>
        <v>1</v>
      </c>
      <c r="F57" s="157">
        <f>'FY27'!R57</f>
        <v>1</v>
      </c>
      <c r="G57" s="157">
        <f>'FY28'!R57</f>
        <v>1</v>
      </c>
    </row>
    <row r="58" spans="1:7" x14ac:dyDescent="0.35">
      <c r="A58" s="34" t="s">
        <v>41</v>
      </c>
      <c r="B58" s="157">
        <f>'FY23'!G58</f>
        <v>0</v>
      </c>
      <c r="C58" s="157">
        <f>'FY24'!R58</f>
        <v>0</v>
      </c>
      <c r="D58" s="157">
        <f>'FY25'!R58</f>
        <v>0</v>
      </c>
      <c r="E58" s="157">
        <f>'FY26'!R58</f>
        <v>0</v>
      </c>
      <c r="F58" s="157">
        <f>'FY27'!R58</f>
        <v>0</v>
      </c>
      <c r="G58" s="157">
        <f>'FY28'!R58</f>
        <v>0</v>
      </c>
    </row>
    <row r="59" spans="1:7" x14ac:dyDescent="0.35">
      <c r="A59" s="34" t="s">
        <v>42</v>
      </c>
      <c r="B59" s="157">
        <f>'FY23'!G59</f>
        <v>0</v>
      </c>
      <c r="C59" s="157">
        <f>'FY24'!R59</f>
        <v>0</v>
      </c>
      <c r="D59" s="157">
        <f>'FY25'!R59</f>
        <v>0</v>
      </c>
      <c r="E59" s="157">
        <f>'FY26'!R59</f>
        <v>0</v>
      </c>
      <c r="F59" s="157">
        <f>'FY27'!R59</f>
        <v>0</v>
      </c>
      <c r="G59" s="157">
        <f>'FY28'!R59</f>
        <v>0</v>
      </c>
    </row>
    <row r="60" spans="1:7" x14ac:dyDescent="0.35">
      <c r="A60" s="34" t="s">
        <v>43</v>
      </c>
      <c r="B60" s="157">
        <f>'FY23'!G60</f>
        <v>0</v>
      </c>
      <c r="C60" s="157">
        <f>'FY24'!R60</f>
        <v>0</v>
      </c>
      <c r="D60" s="157">
        <f>'FY25'!R60</f>
        <v>0</v>
      </c>
      <c r="E60" s="157">
        <f>'FY26'!R60</f>
        <v>0</v>
      </c>
      <c r="F60" s="157">
        <f>'FY27'!R60</f>
        <v>0</v>
      </c>
      <c r="G60" s="157">
        <f>'FY28'!R60</f>
        <v>0</v>
      </c>
    </row>
    <row r="61" spans="1:7" x14ac:dyDescent="0.35">
      <c r="A61" s="34" t="s">
        <v>44</v>
      </c>
      <c r="B61" s="157">
        <f>'FY23'!G61</f>
        <v>1</v>
      </c>
      <c r="C61" s="157">
        <f>'FY24'!R61</f>
        <v>1.5</v>
      </c>
      <c r="D61" s="157">
        <f>'FY25'!R61</f>
        <v>1.5</v>
      </c>
      <c r="E61" s="157">
        <f>'FY26'!R61</f>
        <v>2</v>
      </c>
      <c r="F61" s="157">
        <f>'FY27'!R61</f>
        <v>2</v>
      </c>
      <c r="G61" s="157">
        <f>'FY28'!R61</f>
        <v>2</v>
      </c>
    </row>
    <row r="62" spans="1:7" x14ac:dyDescent="0.35">
      <c r="A62" s="35"/>
      <c r="B62" s="157">
        <f>'FY23'!G62</f>
        <v>0</v>
      </c>
      <c r="C62" s="157">
        <f>'FY24'!R62</f>
        <v>0</v>
      </c>
      <c r="D62" s="157">
        <f>'FY25'!R62</f>
        <v>0</v>
      </c>
      <c r="E62" s="157">
        <f>'FY26'!R62</f>
        <v>0</v>
      </c>
      <c r="F62" s="157">
        <f>'FY27'!R62</f>
        <v>0</v>
      </c>
      <c r="G62" s="157">
        <f>'FY28'!R62</f>
        <v>0</v>
      </c>
    </row>
    <row r="63" spans="1:7" x14ac:dyDescent="0.35">
      <c r="A63" s="29" t="s">
        <v>45</v>
      </c>
      <c r="B63" s="30">
        <f>SUM(B42:B61)</f>
        <v>21</v>
      </c>
      <c r="C63" s="30">
        <f t="shared" ref="C63:F63" si="11">SUM(C42:C61)</f>
        <v>32.5</v>
      </c>
      <c r="D63" s="30">
        <f t="shared" si="11"/>
        <v>37.5</v>
      </c>
      <c r="E63" s="30">
        <f t="shared" si="11"/>
        <v>41</v>
      </c>
      <c r="F63" s="30">
        <f t="shared" si="11"/>
        <v>44</v>
      </c>
      <c r="G63" s="30">
        <f>SUM(G42:G61)</f>
        <v>45</v>
      </c>
    </row>
    <row r="64" spans="1:7" ht="15" thickBot="1" x14ac:dyDescent="0.4">
      <c r="A64" s="36"/>
      <c r="B64" s="38"/>
      <c r="C64" s="38"/>
      <c r="D64" s="38"/>
      <c r="E64" s="38"/>
      <c r="F64" s="38"/>
      <c r="G64" s="38"/>
    </row>
    <row r="65" spans="1:7" x14ac:dyDescent="0.35">
      <c r="A65" s="40" t="s">
        <v>46</v>
      </c>
      <c r="B65" s="39">
        <f t="shared" ref="B65:G65" si="12">B39</f>
        <v>43.5</v>
      </c>
      <c r="C65" s="39">
        <f t="shared" si="12"/>
        <v>74</v>
      </c>
      <c r="D65" s="39">
        <f t="shared" si="12"/>
        <v>80.5</v>
      </c>
      <c r="E65" s="39">
        <f t="shared" si="12"/>
        <v>87.5</v>
      </c>
      <c r="F65" s="39">
        <f t="shared" si="12"/>
        <v>92.5</v>
      </c>
      <c r="G65" s="39">
        <f t="shared" si="12"/>
        <v>93.5</v>
      </c>
    </row>
    <row r="66" spans="1:7" ht="15" thickBot="1" x14ac:dyDescent="0.4">
      <c r="A66" s="43" t="s">
        <v>47</v>
      </c>
      <c r="B66" s="42">
        <f t="shared" ref="B66" si="13">B63</f>
        <v>21</v>
      </c>
      <c r="C66" s="42">
        <f t="shared" ref="C66" si="14">C63</f>
        <v>32.5</v>
      </c>
      <c r="D66" s="42">
        <f t="shared" ref="D66:E66" si="15">D63</f>
        <v>37.5</v>
      </c>
      <c r="E66" s="42">
        <f t="shared" si="15"/>
        <v>41</v>
      </c>
      <c r="F66" s="42">
        <f t="shared" ref="F66:G66" si="16">F63</f>
        <v>44</v>
      </c>
      <c r="G66" s="42">
        <f t="shared" si="16"/>
        <v>45</v>
      </c>
    </row>
    <row r="67" spans="1:7" ht="15" thickBot="1" x14ac:dyDescent="0.4">
      <c r="A67" s="45" t="s">
        <v>48</v>
      </c>
      <c r="B67" s="44">
        <f t="shared" ref="B67" si="17">SUM(B65:B66)</f>
        <v>64.5</v>
      </c>
      <c r="C67" s="44">
        <f t="shared" ref="C67" si="18">SUM(C65:C66)</f>
        <v>106.5</v>
      </c>
      <c r="D67" s="44">
        <f t="shared" ref="D67:E67" si="19">SUM(D65:D66)</f>
        <v>118</v>
      </c>
      <c r="E67" s="44">
        <f t="shared" si="19"/>
        <v>128.5</v>
      </c>
      <c r="F67" s="44">
        <f t="shared" ref="F67:G67" si="20">SUM(F65:F66)</f>
        <v>136.5</v>
      </c>
      <c r="G67" s="44">
        <f t="shared" si="20"/>
        <v>138.5</v>
      </c>
    </row>
    <row r="68" spans="1:7" ht="15" thickBot="1" x14ac:dyDescent="0.4">
      <c r="A68" s="34"/>
      <c r="B68" s="46"/>
      <c r="C68" s="46"/>
      <c r="D68" s="46"/>
      <c r="E68" s="46"/>
      <c r="F68" s="46"/>
      <c r="G68" s="46"/>
    </row>
    <row r="69" spans="1:7" x14ac:dyDescent="0.35">
      <c r="A69" s="48" t="s">
        <v>49</v>
      </c>
      <c r="B69" s="47">
        <f t="shared" ref="B69" si="21">B138/(SUM(B205:B215))</f>
        <v>0.6024035961852805</v>
      </c>
      <c r="C69" s="47">
        <f t="shared" ref="C69" si="22">C138/(SUM(C205:C215))</f>
        <v>0.61720715099261758</v>
      </c>
      <c r="D69" s="47">
        <f t="shared" ref="D69:E69" si="23">D138/(SUM(D205:D215))</f>
        <v>0.59444634516907147</v>
      </c>
      <c r="E69" s="47">
        <f t="shared" si="23"/>
        <v>0.58763066689527987</v>
      </c>
      <c r="F69" s="47">
        <f t="shared" ref="F69:G69" si="24">F138/(SUM(F205:F215))</f>
        <v>0.58760142195666898</v>
      </c>
      <c r="G69" s="47">
        <f t="shared" si="24"/>
        <v>0.59333413787961187</v>
      </c>
    </row>
    <row r="70" spans="1:7" x14ac:dyDescent="0.35">
      <c r="A70" s="50" t="s">
        <v>50</v>
      </c>
      <c r="B70" s="49">
        <f t="shared" ref="B70" si="25">(B109+B110+B111+B114)/B130</f>
        <v>0.74581520409716584</v>
      </c>
      <c r="C70" s="49">
        <f t="shared" ref="C70" si="26">(C109+C110+C111+C114)/C130</f>
        <v>0.74519761419529662</v>
      </c>
      <c r="D70" s="49">
        <f t="shared" ref="D70:E70" si="27">(D109+D110+D111+D114)/D130</f>
        <v>0.75120427304781467</v>
      </c>
      <c r="E70" s="49">
        <f t="shared" si="27"/>
        <v>0.75632261354421215</v>
      </c>
      <c r="F70" s="49">
        <f t="shared" ref="F70:G70" si="28">(F109+F110+F111+F114)/F130</f>
        <v>0.75803267921803474</v>
      </c>
      <c r="G70" s="49">
        <f t="shared" si="28"/>
        <v>0.7610681073804948</v>
      </c>
    </row>
    <row r="71" spans="1:7" x14ac:dyDescent="0.35">
      <c r="A71" s="52" t="s">
        <v>51</v>
      </c>
      <c r="B71" s="49">
        <f t="shared" ref="B71" si="29">(B104+B105+B107+B108+B112+B113+B115+B116+B119+B120+B121+B122+B123+B106+B124+B125+B126+B127+B128)/B130</f>
        <v>0.2541847959028341</v>
      </c>
      <c r="C71" s="49">
        <f t="shared" ref="C71" si="30">(C104+C105+C107+C108+C112+C113+C115+C116+C119+C120+C121+C122+C123+C106+C124+C125+C126+C127+C128)/C130</f>
        <v>0.25480238580470332</v>
      </c>
      <c r="D71" s="49">
        <f t="shared" ref="D71:E71" si="31">(D104+D105+D107+D108+D112+D113+D115+D116+D119+D120+D121+D122+D123+D106+D124+D125+D126+D127+D128)/D130</f>
        <v>0.24879572695218544</v>
      </c>
      <c r="E71" s="49">
        <f t="shared" si="31"/>
        <v>0.24367738645578799</v>
      </c>
      <c r="F71" s="49">
        <f t="shared" ref="F71:G71" si="32">(F104+F105+F107+F108+F112+F113+F115+F116+F119+F120+F121+F122+F123+F106+F124+F125+F126+F127+F128)/F130</f>
        <v>0.24196732078196523</v>
      </c>
      <c r="G71" s="49">
        <f t="shared" si="32"/>
        <v>0.23893189261950526</v>
      </c>
    </row>
    <row r="72" spans="1:7" ht="15" thickBot="1" x14ac:dyDescent="0.4">
      <c r="A72" s="54" t="s">
        <v>52</v>
      </c>
      <c r="B72" s="53">
        <f t="shared" ref="B72" si="33">SUM(B207:B215)/B87</f>
        <v>0.13567257628392562</v>
      </c>
      <c r="C72" s="53">
        <f t="shared" ref="C72" si="34">SUM(C207:C215)/C87</f>
        <v>0.14323961857006037</v>
      </c>
      <c r="D72" s="53">
        <f t="shared" ref="D72:E72" si="35">SUM(D207:D215)/D87</f>
        <v>0.14532291704273581</v>
      </c>
      <c r="E72" s="53">
        <f t="shared" si="35"/>
        <v>0.15455655537255619</v>
      </c>
      <c r="F72" s="53">
        <f t="shared" ref="F72:G72" si="36">SUM(F207:F215)/F87</f>
        <v>0.15648645815131673</v>
      </c>
      <c r="G72" s="53">
        <f t="shared" si="36"/>
        <v>0.15496623174871973</v>
      </c>
    </row>
    <row r="73" spans="1:7" x14ac:dyDescent="0.35">
      <c r="A73" s="55"/>
      <c r="B73" s="56"/>
      <c r="C73" s="56"/>
      <c r="D73" s="56"/>
      <c r="E73" s="56"/>
      <c r="F73" s="56"/>
      <c r="G73" s="56"/>
    </row>
    <row r="74" spans="1:7" x14ac:dyDescent="0.35">
      <c r="A74" s="58" t="s">
        <v>334</v>
      </c>
      <c r="B74" s="59" t="str">
        <f>B1</f>
        <v>FY23</v>
      </c>
      <c r="C74" s="59" t="str">
        <f t="shared" ref="C74:G74" si="37">C1</f>
        <v>FY24</v>
      </c>
      <c r="D74" s="59" t="str">
        <f t="shared" si="37"/>
        <v>FY25</v>
      </c>
      <c r="E74" s="59" t="str">
        <f t="shared" si="37"/>
        <v>FY26</v>
      </c>
      <c r="F74" s="59" t="str">
        <f t="shared" si="37"/>
        <v>FY27</v>
      </c>
      <c r="G74" s="59" t="str">
        <f t="shared" si="37"/>
        <v>FY28</v>
      </c>
    </row>
    <row r="75" spans="1:7" x14ac:dyDescent="0.35">
      <c r="A75" s="61" t="s">
        <v>211</v>
      </c>
      <c r="B75" s="7">
        <f>'FY23'!G75</f>
        <v>6826410</v>
      </c>
      <c r="C75" s="7">
        <f>'FY24'!R75</f>
        <v>11111100</v>
      </c>
      <c r="D75" s="7">
        <f>'FY25'!R75</f>
        <v>12549553</v>
      </c>
      <c r="E75" s="7">
        <f>'FY26'!R75</f>
        <v>13830672</v>
      </c>
      <c r="F75" s="7">
        <f>'FY27'!R75</f>
        <v>14940000</v>
      </c>
      <c r="G75" s="7">
        <f>'FY28'!R75</f>
        <v>15135216</v>
      </c>
    </row>
    <row r="76" spans="1:7" x14ac:dyDescent="0.35">
      <c r="A76" s="63" t="s">
        <v>229</v>
      </c>
      <c r="B76" s="7">
        <f>'FY23'!G76</f>
        <v>74124</v>
      </c>
      <c r="C76" s="7">
        <f>'FY24'!R76</f>
        <v>74124</v>
      </c>
      <c r="D76" s="7">
        <f>'FY25'!R76</f>
        <v>74124</v>
      </c>
      <c r="E76" s="7">
        <f>'FY26'!R76</f>
        <v>74124</v>
      </c>
      <c r="F76" s="7">
        <f>'FY27'!R76</f>
        <v>74124</v>
      </c>
      <c r="G76" s="7">
        <f>'FY28'!R76</f>
        <v>74124</v>
      </c>
    </row>
    <row r="77" spans="1:7" x14ac:dyDescent="0.35">
      <c r="A77" s="63" t="s">
        <v>53</v>
      </c>
      <c r="B77" s="7">
        <f>'FY23'!G77</f>
        <v>39455.955000000002</v>
      </c>
      <c r="C77" s="7">
        <f>'FY24'!R77</f>
        <v>251244.00000000006</v>
      </c>
      <c r="D77" s="7">
        <f>'FY25'!R77</f>
        <v>309005.55000000005</v>
      </c>
      <c r="E77" s="7">
        <f>'FY26'!R77</f>
        <v>369212.39999999997</v>
      </c>
      <c r="F77" s="7">
        <f>'FY27'!R77</f>
        <v>402931.80000000005</v>
      </c>
      <c r="G77" s="7">
        <f>'FY28'!R77</f>
        <v>412792.2</v>
      </c>
    </row>
    <row r="78" spans="1:7" x14ac:dyDescent="0.35">
      <c r="A78" s="63" t="s">
        <v>54</v>
      </c>
      <c r="B78" s="7">
        <f>'FY23'!G78</f>
        <v>95000</v>
      </c>
      <c r="C78" s="7">
        <f>'FY24'!R78</f>
        <v>190456</v>
      </c>
      <c r="D78" s="7">
        <f>'FY25'!R78</f>
        <v>190456</v>
      </c>
      <c r="E78" s="7">
        <f>'FY26'!R78</f>
        <v>219041.5</v>
      </c>
      <c r="F78" s="7">
        <f>'FY27'!R78</f>
        <v>243428</v>
      </c>
      <c r="G78" s="7">
        <f>'FY28'!R78</f>
        <v>262808</v>
      </c>
    </row>
    <row r="79" spans="1:7" x14ac:dyDescent="0.35">
      <c r="A79" s="145" t="s">
        <v>212</v>
      </c>
      <c r="B79" s="7">
        <f>'FY23'!G79</f>
        <v>275500</v>
      </c>
      <c r="C79" s="7">
        <f>'FY24'!R79</f>
        <v>280800</v>
      </c>
      <c r="D79" s="7">
        <f>'FY25'!R79</f>
        <v>501200</v>
      </c>
      <c r="E79" s="7">
        <f>'FY26'!R79</f>
        <v>576425</v>
      </c>
      <c r="F79" s="7">
        <f>'FY27'!R79</f>
        <v>653412</v>
      </c>
      <c r="G79" s="7">
        <f>'FY28'!R79</f>
        <v>719264</v>
      </c>
    </row>
    <row r="80" spans="1:7" x14ac:dyDescent="0.35">
      <c r="A80" s="63" t="s">
        <v>213</v>
      </c>
      <c r="B80" s="7">
        <f>'FY23'!G80</f>
        <v>9810</v>
      </c>
      <c r="C80" s="7">
        <f>'FY24'!R80</f>
        <v>5007</v>
      </c>
      <c r="D80" s="7">
        <f>'FY25'!R80</f>
        <v>189612.80000000002</v>
      </c>
      <c r="E80" s="7">
        <f>'FY26'!R80</f>
        <v>252889.60000000003</v>
      </c>
      <c r="F80" s="7">
        <f>'FY27'!R80</f>
        <v>308676</v>
      </c>
      <c r="G80" s="7">
        <f>'FY28'!R80</f>
        <v>355068.2</v>
      </c>
    </row>
    <row r="81" spans="1:7" x14ac:dyDescent="0.35">
      <c r="A81" s="63" t="s">
        <v>214</v>
      </c>
      <c r="B81" s="7">
        <f>'FY23'!G81</f>
        <v>51728</v>
      </c>
      <c r="C81" s="7">
        <f>'FY24'!R81</f>
        <v>45686</v>
      </c>
      <c r="D81" s="7">
        <f>'FY25'!R81</f>
        <v>63218</v>
      </c>
      <c r="E81" s="7">
        <f>'FY26'!R81</f>
        <v>68406</v>
      </c>
      <c r="F81" s="7">
        <f>'FY27'!R81</f>
        <v>76454</v>
      </c>
      <c r="G81" s="7">
        <f>'FY28'!R81</f>
        <v>81900</v>
      </c>
    </row>
    <row r="82" spans="1:7" x14ac:dyDescent="0.35">
      <c r="A82" s="63" t="s">
        <v>215</v>
      </c>
      <c r="B82" s="7">
        <f>'FY23'!G82</f>
        <v>10363</v>
      </c>
      <c r="C82" s="7">
        <f>'FY24'!R82</f>
        <v>13585</v>
      </c>
      <c r="D82" s="7">
        <f>'FY25'!R82</f>
        <v>57269.079999999987</v>
      </c>
      <c r="E82" s="7">
        <f>'FY26'!R82</f>
        <v>72221.440000000002</v>
      </c>
      <c r="F82" s="7">
        <f>'FY27'!R82</f>
        <v>85387.119999999981</v>
      </c>
      <c r="G82" s="7">
        <f>'FY28'!R82</f>
        <v>96647.239999999991</v>
      </c>
    </row>
    <row r="83" spans="1:7" x14ac:dyDescent="0.35">
      <c r="A83" s="63" t="s">
        <v>216</v>
      </c>
      <c r="B83" s="7">
        <f>'FY23'!G83</f>
        <v>0</v>
      </c>
      <c r="C83" s="7">
        <f>'FY24'!R83</f>
        <v>0</v>
      </c>
      <c r="D83" s="7">
        <f>'FY25'!R83</f>
        <v>0</v>
      </c>
      <c r="E83" s="7">
        <f>'FY26'!R83</f>
        <v>0</v>
      </c>
      <c r="F83" s="7">
        <f>'FY27'!R83</f>
        <v>0</v>
      </c>
      <c r="G83" s="7">
        <f>'FY28'!R83</f>
        <v>0</v>
      </c>
    </row>
    <row r="84" spans="1:7" x14ac:dyDescent="0.35">
      <c r="A84" s="63" t="s">
        <v>220</v>
      </c>
      <c r="B84" s="7">
        <f>'FY23'!G84</f>
        <v>0</v>
      </c>
      <c r="C84" s="7">
        <f>'FY24'!R84</f>
        <v>0</v>
      </c>
      <c r="D84" s="7">
        <f>'FY25'!R84</f>
        <v>0</v>
      </c>
      <c r="E84" s="7">
        <f>'FY26'!R84</f>
        <v>0</v>
      </c>
      <c r="F84" s="7">
        <f>'FY27'!R84</f>
        <v>0</v>
      </c>
      <c r="G84" s="7">
        <f>'FY28'!R84</f>
        <v>0</v>
      </c>
    </row>
    <row r="85" spans="1:7" x14ac:dyDescent="0.35">
      <c r="A85" s="63" t="s">
        <v>216</v>
      </c>
      <c r="B85" s="7">
        <f>'FY23'!G85</f>
        <v>0</v>
      </c>
      <c r="C85" s="7">
        <f>'FY24'!R85</f>
        <v>0</v>
      </c>
      <c r="D85" s="7">
        <f>'FY25'!R85</f>
        <v>0</v>
      </c>
      <c r="E85" s="7">
        <f>'FY26'!R85</f>
        <v>0</v>
      </c>
      <c r="F85" s="7">
        <f>'FY27'!R85</f>
        <v>0</v>
      </c>
      <c r="G85" s="7">
        <f>'FY28'!R85</f>
        <v>0</v>
      </c>
    </row>
    <row r="86" spans="1:7" ht="15" thickBot="1" x14ac:dyDescent="0.4">
      <c r="A86" s="66" t="s">
        <v>56</v>
      </c>
      <c r="B86" s="7">
        <f>'FY23'!G86</f>
        <v>0</v>
      </c>
      <c r="C86" s="7">
        <f>'FY24'!R86</f>
        <v>0</v>
      </c>
      <c r="D86" s="7">
        <f>'FY25'!R86</f>
        <v>0</v>
      </c>
      <c r="E86" s="7">
        <f>'FY26'!R86</f>
        <v>0</v>
      </c>
      <c r="F86" s="7">
        <f>'FY27'!R86</f>
        <v>0</v>
      </c>
      <c r="G86" s="7">
        <f>'FY28'!R86</f>
        <v>0</v>
      </c>
    </row>
    <row r="87" spans="1:7" ht="15" thickBot="1" x14ac:dyDescent="0.4">
      <c r="A87" s="68" t="s">
        <v>57</v>
      </c>
      <c r="B87" s="69">
        <f t="shared" ref="B87" si="38">SUM(B75:B86)</f>
        <v>7382390.9550000001</v>
      </c>
      <c r="C87" s="69">
        <f t="shared" ref="C87" si="39">SUM(C75:C86)</f>
        <v>11972002</v>
      </c>
      <c r="D87" s="69">
        <f t="shared" ref="D87:E87" si="40">SUM(D75:D86)</f>
        <v>13934438.430000002</v>
      </c>
      <c r="E87" s="69">
        <f t="shared" si="40"/>
        <v>15462991.939999999</v>
      </c>
      <c r="F87" s="69">
        <f t="shared" ref="F87:G87" si="41">SUM(F75:F86)</f>
        <v>16784412.920000002</v>
      </c>
      <c r="G87" s="69">
        <f t="shared" si="41"/>
        <v>17137819.639999997</v>
      </c>
    </row>
    <row r="88" spans="1:7" hidden="1" x14ac:dyDescent="0.35">
      <c r="A88" s="61" t="s">
        <v>211</v>
      </c>
      <c r="B88" s="7">
        <f>'FY23'!G88</f>
        <v>6826410</v>
      </c>
      <c r="C88" s="7">
        <f>'FY24'!R88</f>
        <v>11111100</v>
      </c>
      <c r="D88" s="7">
        <f>'FY25'!R88</f>
        <v>12549553</v>
      </c>
      <c r="E88" s="7">
        <f>'FY26'!R88</f>
        <v>13830672</v>
      </c>
      <c r="F88" s="7">
        <f>'FY27'!R88</f>
        <v>14940000</v>
      </c>
      <c r="G88" s="7">
        <f>'FY28'!R88</f>
        <v>15135216</v>
      </c>
    </row>
    <row r="89" spans="1:7" hidden="1" x14ac:dyDescent="0.35">
      <c r="A89" s="63" t="str">
        <f>A76</f>
        <v>Local SPED</v>
      </c>
      <c r="B89" s="7">
        <f>'FY23'!G89</f>
        <v>74124</v>
      </c>
      <c r="C89" s="7">
        <f>'FY24'!R89</f>
        <v>74124</v>
      </c>
      <c r="D89" s="7">
        <f>'FY25'!R89</f>
        <v>74124</v>
      </c>
      <c r="E89" s="7">
        <f>'FY26'!R89</f>
        <v>74124</v>
      </c>
      <c r="F89" s="7">
        <f>'FY27'!R89</f>
        <v>74124</v>
      </c>
      <c r="G89" s="7">
        <f>'FY28'!R89</f>
        <v>74124</v>
      </c>
    </row>
    <row r="90" spans="1:7" hidden="1" x14ac:dyDescent="0.35">
      <c r="A90" s="63" t="s">
        <v>53</v>
      </c>
      <c r="B90" s="7">
        <f>'FY23'!G90</f>
        <v>39455.955000000002</v>
      </c>
      <c r="C90" s="7">
        <f>'FY24'!R90</f>
        <v>251244.00000000006</v>
      </c>
      <c r="D90" s="7">
        <f>'FY25'!R90</f>
        <v>309005.55000000005</v>
      </c>
      <c r="E90" s="7">
        <f>'FY26'!R90</f>
        <v>369212.39999999997</v>
      </c>
      <c r="F90" s="7">
        <f>'FY27'!R90</f>
        <v>402931.80000000005</v>
      </c>
      <c r="G90" s="7">
        <f>'FY28'!R90</f>
        <v>412792.2</v>
      </c>
    </row>
    <row r="91" spans="1:7" hidden="1" x14ac:dyDescent="0.35">
      <c r="A91" s="63" t="s">
        <v>54</v>
      </c>
      <c r="B91" s="7">
        <f>'FY23'!G91</f>
        <v>95000</v>
      </c>
      <c r="C91" s="7">
        <f>'FY24'!R91</f>
        <v>190456</v>
      </c>
      <c r="D91" s="7">
        <f>'FY25'!R91</f>
        <v>190456</v>
      </c>
      <c r="E91" s="7">
        <f>'FY26'!R91</f>
        <v>219041.5</v>
      </c>
      <c r="F91" s="7">
        <f>'FY27'!R91</f>
        <v>243428</v>
      </c>
      <c r="G91" s="7">
        <f>'FY28'!R91</f>
        <v>262808</v>
      </c>
    </row>
    <row r="92" spans="1:7" hidden="1" x14ac:dyDescent="0.35">
      <c r="A92" s="145" t="s">
        <v>212</v>
      </c>
      <c r="B92" s="7">
        <f>'FY23'!G92</f>
        <v>275500</v>
      </c>
      <c r="C92" s="7">
        <f>'FY24'!R92</f>
        <v>280800</v>
      </c>
      <c r="D92" s="7">
        <f>'FY25'!R92</f>
        <v>501200</v>
      </c>
      <c r="E92" s="7">
        <f>'FY26'!R92</f>
        <v>576425</v>
      </c>
      <c r="F92" s="7">
        <f>'FY27'!R92</f>
        <v>653412</v>
      </c>
      <c r="G92" s="7">
        <f>'FY28'!R92</f>
        <v>719264</v>
      </c>
    </row>
    <row r="93" spans="1:7" hidden="1" x14ac:dyDescent="0.35">
      <c r="A93" s="63" t="s">
        <v>213</v>
      </c>
      <c r="B93" s="7">
        <f>'FY23'!G93</f>
        <v>9810</v>
      </c>
      <c r="C93" s="7">
        <f>'FY24'!R93</f>
        <v>5007</v>
      </c>
      <c r="D93" s="7">
        <f>'FY25'!R93</f>
        <v>189612.80000000002</v>
      </c>
      <c r="E93" s="7">
        <f>'FY26'!R93</f>
        <v>252889.60000000003</v>
      </c>
      <c r="F93" s="7">
        <f>'FY27'!R93</f>
        <v>308676</v>
      </c>
      <c r="G93" s="7">
        <f>'FY28'!R93</f>
        <v>355068.2</v>
      </c>
    </row>
    <row r="94" spans="1:7" hidden="1" x14ac:dyDescent="0.35">
      <c r="A94" s="63" t="s">
        <v>214</v>
      </c>
      <c r="B94" s="7">
        <f>'FY23'!G94</f>
        <v>51728</v>
      </c>
      <c r="C94" s="7">
        <f>'FY24'!R94</f>
        <v>45686</v>
      </c>
      <c r="D94" s="7">
        <f>'FY25'!R94</f>
        <v>63218</v>
      </c>
      <c r="E94" s="7">
        <f>'FY26'!R94</f>
        <v>68406</v>
      </c>
      <c r="F94" s="7">
        <f>'FY27'!R94</f>
        <v>76454</v>
      </c>
      <c r="G94" s="7">
        <f>'FY28'!R94</f>
        <v>81900</v>
      </c>
    </row>
    <row r="95" spans="1:7" hidden="1" x14ac:dyDescent="0.35">
      <c r="A95" s="63" t="s">
        <v>215</v>
      </c>
      <c r="B95" s="7">
        <f>'FY23'!G95</f>
        <v>10363</v>
      </c>
      <c r="C95" s="7">
        <f>'FY24'!R95</f>
        <v>13585</v>
      </c>
      <c r="D95" s="7">
        <f>'FY25'!R95</f>
        <v>57269.079999999987</v>
      </c>
      <c r="E95" s="7">
        <f>'FY26'!R95</f>
        <v>72221.440000000002</v>
      </c>
      <c r="F95" s="7">
        <f>'FY27'!R95</f>
        <v>85387.119999999981</v>
      </c>
      <c r="G95" s="7">
        <f>'FY28'!R95</f>
        <v>96647.239999999991</v>
      </c>
    </row>
    <row r="96" spans="1:7" hidden="1" x14ac:dyDescent="0.35">
      <c r="A96" s="63" t="s">
        <v>227</v>
      </c>
      <c r="B96" s="7">
        <f>'FY23'!G96</f>
        <v>0</v>
      </c>
      <c r="C96" s="7">
        <f>'FY24'!R96</f>
        <v>0</v>
      </c>
      <c r="D96" s="7">
        <f>'FY25'!R96</f>
        <v>0</v>
      </c>
      <c r="E96" s="7">
        <f>'FY26'!R96</f>
        <v>0</v>
      </c>
      <c r="F96" s="7">
        <f>'FY27'!R96</f>
        <v>0</v>
      </c>
      <c r="G96" s="7">
        <f>'FY28'!R96</f>
        <v>0</v>
      </c>
    </row>
    <row r="97" spans="1:18" hidden="1" x14ac:dyDescent="0.35">
      <c r="A97" s="63" t="s">
        <v>220</v>
      </c>
      <c r="B97" s="7">
        <f>'FY23'!G97</f>
        <v>0</v>
      </c>
      <c r="C97" s="7">
        <f>'FY24'!R97</f>
        <v>0</v>
      </c>
      <c r="D97" s="7">
        <f>'FY25'!R97</f>
        <v>0</v>
      </c>
      <c r="E97" s="7">
        <f>'FY26'!R97</f>
        <v>0</v>
      </c>
      <c r="F97" s="7">
        <f>'FY27'!R97</f>
        <v>0</v>
      </c>
      <c r="G97" s="7">
        <f>'FY28'!R97</f>
        <v>0</v>
      </c>
    </row>
    <row r="98" spans="1:18" hidden="1" x14ac:dyDescent="0.35">
      <c r="A98" s="63" t="s">
        <v>216</v>
      </c>
      <c r="B98" s="7">
        <f>'FY23'!G98</f>
        <v>0</v>
      </c>
      <c r="C98" s="7">
        <f>'FY24'!R98</f>
        <v>0</v>
      </c>
      <c r="D98" s="7">
        <f>'FY25'!R98</f>
        <v>0</v>
      </c>
      <c r="E98" s="7">
        <f>'FY26'!R98</f>
        <v>0</v>
      </c>
      <c r="F98" s="7">
        <f>'FY27'!R98</f>
        <v>0</v>
      </c>
      <c r="G98" s="7">
        <f>'FY28'!R98</f>
        <v>0</v>
      </c>
    </row>
    <row r="99" spans="1:18" ht="15" hidden="1" thickBot="1" x14ac:dyDescent="0.4">
      <c r="A99" s="66" t="s">
        <v>56</v>
      </c>
      <c r="B99" s="7">
        <f>'FY23'!G99</f>
        <v>0</v>
      </c>
      <c r="C99" s="7">
        <f>'FY24'!R99</f>
        <v>0</v>
      </c>
      <c r="D99" s="7">
        <f>'FY25'!R99</f>
        <v>0</v>
      </c>
      <c r="E99" s="7">
        <f>'FY26'!R99</f>
        <v>0</v>
      </c>
      <c r="F99" s="7">
        <f>'FY27'!R99</f>
        <v>0</v>
      </c>
      <c r="G99" s="7">
        <f>'FY28'!R99</f>
        <v>0</v>
      </c>
    </row>
    <row r="100" spans="1:18" ht="15" hidden="1" thickBot="1" x14ac:dyDescent="0.4">
      <c r="A100" s="68" t="s">
        <v>58</v>
      </c>
      <c r="B100" s="69">
        <f t="shared" ref="B100:G100" si="42">SUM(B88:B89)</f>
        <v>6900534</v>
      </c>
      <c r="C100" s="69">
        <f t="shared" si="42"/>
        <v>11185224</v>
      </c>
      <c r="D100" s="69">
        <f t="shared" si="42"/>
        <v>12623677</v>
      </c>
      <c r="E100" s="69">
        <f t="shared" si="42"/>
        <v>13904796</v>
      </c>
      <c r="F100" s="69">
        <f t="shared" si="42"/>
        <v>15014124</v>
      </c>
      <c r="G100" s="69">
        <f t="shared" si="42"/>
        <v>15209340</v>
      </c>
    </row>
    <row r="101" spans="1:18" x14ac:dyDescent="0.35">
      <c r="A101" s="71"/>
      <c r="B101" s="56"/>
      <c r="C101" s="56"/>
      <c r="D101" s="56"/>
      <c r="E101" s="56"/>
      <c r="F101" s="56"/>
      <c r="G101" s="56"/>
    </row>
    <row r="102" spans="1:18" ht="15" thickBot="1" x14ac:dyDescent="0.4">
      <c r="A102" s="73" t="s">
        <v>59</v>
      </c>
      <c r="B102" s="74" t="str">
        <f t="shared" ref="B102" si="43">B1</f>
        <v>FY23</v>
      </c>
      <c r="C102" s="74" t="str">
        <f t="shared" ref="C102" si="44">C1</f>
        <v>FY24</v>
      </c>
      <c r="D102" s="74" t="str">
        <f t="shared" ref="D102:E102" si="45">D1</f>
        <v>FY25</v>
      </c>
      <c r="E102" s="74" t="str">
        <f t="shared" si="45"/>
        <v>FY26</v>
      </c>
      <c r="F102" s="74" t="str">
        <f t="shared" ref="F102:G102" si="46">F1</f>
        <v>FY27</v>
      </c>
      <c r="G102" s="74" t="str">
        <f t="shared" si="46"/>
        <v>FY28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G103" s="77"/>
    </row>
    <row r="104" spans="1:18" x14ac:dyDescent="0.35">
      <c r="A104" s="63" t="s">
        <v>30</v>
      </c>
      <c r="B104" s="7">
        <f>'FY23'!G104</f>
        <v>114240</v>
      </c>
      <c r="C104" s="7">
        <f>'FY24'!R104</f>
        <v>215725.12</v>
      </c>
      <c r="D104" s="7">
        <f>'FY25'!R104</f>
        <v>220039.62239999999</v>
      </c>
      <c r="E104" s="7">
        <f>'FY26'!R104</f>
        <v>222900.13749119997</v>
      </c>
      <c r="F104" s="7">
        <f>'FY27'!R104</f>
        <v>225797.83927858554</v>
      </c>
      <c r="G104" s="7">
        <f>'FY28'!R104</f>
        <v>230512.58823520713</v>
      </c>
    </row>
    <row r="105" spans="1:18" x14ac:dyDescent="0.35">
      <c r="A105" s="63" t="s">
        <v>61</v>
      </c>
      <c r="B105" s="7">
        <f>'FY23'!G105</f>
        <v>84660</v>
      </c>
      <c r="C105" s="7">
        <f>'FY24'!R105</f>
        <v>155760.57999999999</v>
      </c>
      <c r="D105" s="7">
        <f>'FY25'!R105</f>
        <v>238875.7916</v>
      </c>
      <c r="E105" s="7">
        <f>'FY26'!R105</f>
        <v>244676.56729079995</v>
      </c>
      <c r="F105" s="7">
        <f>'FY27'!R105</f>
        <v>327379.81623608031</v>
      </c>
      <c r="G105" s="7">
        <f>'FY28'!R105</f>
        <v>331635.75384714932</v>
      </c>
    </row>
    <row r="106" spans="1:18" x14ac:dyDescent="0.35">
      <c r="A106" s="63" t="s">
        <v>33</v>
      </c>
      <c r="B106" s="7">
        <f>'FY23'!G106</f>
        <v>60180</v>
      </c>
      <c r="C106" s="7">
        <f>'FY24'!R106</f>
        <v>60962.34</v>
      </c>
      <c r="D106" s="7">
        <f>'FY25'!R106</f>
        <v>62181.586799999997</v>
      </c>
      <c r="E106" s="7">
        <f>'FY26'!R106</f>
        <v>62989.947428399988</v>
      </c>
      <c r="F106" s="7">
        <f>'FY27'!R106</f>
        <v>63808.816744969183</v>
      </c>
      <c r="G106" s="7">
        <f>'FY28'!R106</f>
        <v>64638.331362653778</v>
      </c>
    </row>
    <row r="107" spans="1:18" x14ac:dyDescent="0.35">
      <c r="A107" s="63" t="s">
        <v>252</v>
      </c>
      <c r="B107" s="7">
        <f>'FY23'!G107</f>
        <v>65280</v>
      </c>
      <c r="C107" s="7">
        <f>'FY24'!R107</f>
        <v>121128.64</v>
      </c>
      <c r="D107" s="7">
        <f>'FY25'!R107</f>
        <v>123551.21279999999</v>
      </c>
      <c r="E107" s="7">
        <f>'FY26'!R107</f>
        <v>125157.37856639997</v>
      </c>
      <c r="F107" s="7">
        <f>'FY27'!R107</f>
        <v>126784.42448776316</v>
      </c>
      <c r="G107" s="7">
        <f>'FY28'!R107</f>
        <v>128432.62200610407</v>
      </c>
    </row>
    <row r="108" spans="1:18" x14ac:dyDescent="0.35">
      <c r="A108" s="63" t="s">
        <v>63</v>
      </c>
      <c r="B108" s="7">
        <f>'FY23'!G108</f>
        <v>68340</v>
      </c>
      <c r="C108" s="7">
        <f>'FY24'!R108</f>
        <v>69228.42</v>
      </c>
      <c r="D108" s="7">
        <f>'FY25'!R108</f>
        <v>70612.988400000002</v>
      </c>
      <c r="E108" s="7">
        <f>'FY26'!R108</f>
        <v>129271.9572492</v>
      </c>
      <c r="F108" s="7">
        <f>'FY27'!R108</f>
        <v>130952.49269343958</v>
      </c>
      <c r="G108" s="7">
        <f>'FY28'!R108</f>
        <v>132654.87509845427</v>
      </c>
    </row>
    <row r="109" spans="1:18" x14ac:dyDescent="0.35">
      <c r="A109" s="63" t="s">
        <v>64</v>
      </c>
      <c r="B109" s="7">
        <f>'FY23'!G109</f>
        <v>1842750</v>
      </c>
      <c r="C109" s="7">
        <f>'FY24'!R109</f>
        <v>3033450</v>
      </c>
      <c r="D109" s="7">
        <f>'FY25'!R109</f>
        <v>3390000</v>
      </c>
      <c r="E109" s="7">
        <f>'FY26'!R109</f>
        <v>3724200</v>
      </c>
      <c r="F109" s="7">
        <f>'FY27'!R109</f>
        <v>3973815</v>
      </c>
      <c r="G109" s="7">
        <f>'FY28'!R109</f>
        <v>4041850</v>
      </c>
      <c r="I109" s="120">
        <f t="shared" ref="I109:N109" si="47">B109+B111+B114</f>
        <v>2110290</v>
      </c>
      <c r="J109" s="120">
        <f t="shared" si="47"/>
        <v>3543600</v>
      </c>
      <c r="K109" s="120">
        <f t="shared" si="47"/>
        <v>3967730</v>
      </c>
      <c r="L109" s="120">
        <f t="shared" si="47"/>
        <v>4394110</v>
      </c>
      <c r="M109" s="120">
        <f t="shared" si="47"/>
        <v>4743675</v>
      </c>
      <c r="N109" s="120">
        <f t="shared" si="47"/>
        <v>4891790</v>
      </c>
      <c r="Q109" s="120">
        <f>1580400+131700+126000</f>
        <v>1838100</v>
      </c>
      <c r="R109" s="120">
        <f>1692900+133650+128520</f>
        <v>1955070</v>
      </c>
    </row>
    <row r="110" spans="1:18" x14ac:dyDescent="0.35">
      <c r="A110" s="63" t="s">
        <v>66</v>
      </c>
      <c r="B110" s="7">
        <f>'FY23'!G110</f>
        <v>0</v>
      </c>
      <c r="C110" s="7">
        <f>'FY24'!R110</f>
        <v>0</v>
      </c>
      <c r="D110" s="7">
        <f>'FY25'!R110</f>
        <v>0</v>
      </c>
      <c r="E110" s="7">
        <f>'FY26'!R110</f>
        <v>0</v>
      </c>
      <c r="F110" s="7">
        <f>'FY27'!R110</f>
        <v>0</v>
      </c>
      <c r="G110" s="7">
        <f>'FY28'!R110</f>
        <v>0</v>
      </c>
      <c r="I110" s="120">
        <f t="shared" ref="I110:N110" si="48">B130-B109-B111-B114</f>
        <v>719217.88400000008</v>
      </c>
      <c r="J110" s="120">
        <f t="shared" si="48"/>
        <v>1211648.7185920002</v>
      </c>
      <c r="K110" s="120">
        <f t="shared" si="48"/>
        <v>1314095.6529638395</v>
      </c>
      <c r="L110" s="120">
        <f t="shared" si="48"/>
        <v>1415725.5401654728</v>
      </c>
      <c r="M110" s="120">
        <f t="shared" si="48"/>
        <v>1514201.645758125</v>
      </c>
      <c r="N110" s="120">
        <f t="shared" si="48"/>
        <v>1535742.50669898</v>
      </c>
      <c r="Q110" s="120">
        <f>2321580-Q109</f>
        <v>483480</v>
      </c>
      <c r="R110" s="120">
        <f>2511319-R109</f>
        <v>556249</v>
      </c>
    </row>
    <row r="111" spans="1:18" x14ac:dyDescent="0.35">
      <c r="A111" s="63" t="s">
        <v>19</v>
      </c>
      <c r="B111" s="7">
        <f>'FY23'!G111</f>
        <v>136500</v>
      </c>
      <c r="C111" s="7">
        <f>'FY24'!R111</f>
        <v>339150</v>
      </c>
      <c r="D111" s="7">
        <f>'FY25'!R111</f>
        <v>346250</v>
      </c>
      <c r="E111" s="7">
        <f>'FY26'!R111</f>
        <v>397750</v>
      </c>
      <c r="F111" s="7">
        <f>'FY27'!R111</f>
        <v>450540</v>
      </c>
      <c r="G111" s="7">
        <f>'FY28'!R111</f>
        <v>504700</v>
      </c>
    </row>
    <row r="112" spans="1:18" x14ac:dyDescent="0.35">
      <c r="A112" s="63" t="s">
        <v>67</v>
      </c>
      <c r="B112" s="7">
        <f>'FY23'!G112</f>
        <v>107010.38400000001</v>
      </c>
      <c r="C112" s="7">
        <f>'FY24'!R112</f>
        <v>196085.98859199998</v>
      </c>
      <c r="D112" s="7">
        <f>'FY25'!R112</f>
        <v>200007.70836383998</v>
      </c>
      <c r="E112" s="7">
        <f>'FY26'!R112</f>
        <v>201445.1125056739</v>
      </c>
      <c r="F112" s="7">
        <f>'FY27'!R112</f>
        <v>204063.89896824764</v>
      </c>
      <c r="G112" s="7">
        <f>'FY28'!R112</f>
        <v>206716.72965483484</v>
      </c>
      <c r="I112">
        <f t="shared" ref="I112:N112" si="49">SUM(B131:B132)/B130</f>
        <v>0.47925440214818632</v>
      </c>
      <c r="J112">
        <f t="shared" si="49"/>
        <v>0.48249999999999982</v>
      </c>
      <c r="K112">
        <f t="shared" si="49"/>
        <v>0.48500000000000004</v>
      </c>
      <c r="L112">
        <f t="shared" si="49"/>
        <v>0.48750000000000004</v>
      </c>
      <c r="M112">
        <f t="shared" si="49"/>
        <v>0.49</v>
      </c>
      <c r="N112">
        <f t="shared" si="49"/>
        <v>0.49249999999999999</v>
      </c>
      <c r="Q112">
        <f>(679062+400473)/2321580</f>
        <v>0.46500012922233996</v>
      </c>
      <c r="R112">
        <f>(734561+445759)/2511319</f>
        <v>0.47000002787379858</v>
      </c>
    </row>
    <row r="113" spans="1:18" x14ac:dyDescent="0.35">
      <c r="A113" s="63" t="s">
        <v>68</v>
      </c>
      <c r="B113" s="7">
        <f>'FY23'!G113</f>
        <v>42560</v>
      </c>
      <c r="C113" s="7">
        <f>'FY24'!R113</f>
        <v>85880</v>
      </c>
      <c r="D113" s="7">
        <f>'FY25'!R113</f>
        <v>87400</v>
      </c>
      <c r="E113" s="7">
        <f>'FY26'!R113</f>
        <v>88160</v>
      </c>
      <c r="F113" s="7">
        <f>'FY27'!R113</f>
        <v>89680</v>
      </c>
      <c r="G113" s="7">
        <f>'FY28'!R113</f>
        <v>91200</v>
      </c>
    </row>
    <row r="114" spans="1:18" x14ac:dyDescent="0.35">
      <c r="A114" s="63" t="s">
        <v>69</v>
      </c>
      <c r="B114" s="7">
        <f>'FY23'!G114</f>
        <v>131040</v>
      </c>
      <c r="C114" s="7">
        <f>'FY24'!R114</f>
        <v>171000</v>
      </c>
      <c r="D114" s="7">
        <f>'FY25'!R114</f>
        <v>231480</v>
      </c>
      <c r="E114" s="7">
        <f>'FY26'!R114</f>
        <v>272160</v>
      </c>
      <c r="F114" s="7">
        <f>'FY27'!R114</f>
        <v>319320</v>
      </c>
      <c r="G114" s="7">
        <f>'FY28'!R114</f>
        <v>345240</v>
      </c>
      <c r="I114" s="122">
        <f>I109*I112+I109</f>
        <v>3121655.7723092958</v>
      </c>
      <c r="J114" s="122">
        <f>J109*J112+J109</f>
        <v>5253386.9999999991</v>
      </c>
      <c r="K114" s="122">
        <f t="shared" ref="K114:N114" si="50">K109*K112+K109</f>
        <v>5892079.0500000007</v>
      </c>
      <c r="L114" s="122">
        <f t="shared" si="50"/>
        <v>6536238.625</v>
      </c>
      <c r="M114" s="122">
        <f t="shared" si="50"/>
        <v>7068075.75</v>
      </c>
      <c r="N114" s="122">
        <f t="shared" si="50"/>
        <v>7300996.5750000002</v>
      </c>
      <c r="Q114" s="120">
        <f>Q109*Q112+Q109</f>
        <v>2692816.7375235832</v>
      </c>
      <c r="R114" s="120">
        <f>R109*R112+R109</f>
        <v>2873952.9544952274</v>
      </c>
    </row>
    <row r="115" spans="1:18" x14ac:dyDescent="0.35">
      <c r="A115" s="63" t="s">
        <v>70</v>
      </c>
      <c r="B115" s="7">
        <f>'FY23'!G115</f>
        <v>48480</v>
      </c>
      <c r="C115" s="7">
        <f>'FY24'!R115</f>
        <v>97440</v>
      </c>
      <c r="D115" s="7">
        <f>'FY25'!R115</f>
        <v>98400</v>
      </c>
      <c r="E115" s="7">
        <f>'FY26'!R115</f>
        <v>98880</v>
      </c>
      <c r="F115" s="7">
        <f>'FY27'!R115</f>
        <v>99840</v>
      </c>
      <c r="G115" s="7">
        <f>'FY28'!R115</f>
        <v>101280</v>
      </c>
      <c r="I115" s="122">
        <f>I110*I112+I110</f>
        <v>1063906.2210107036</v>
      </c>
      <c r="J115" s="122">
        <f>J110*J112+J110</f>
        <v>1796269.22531264</v>
      </c>
      <c r="K115" s="122">
        <f t="shared" ref="K115:N115" si="51">K110*K112+K110</f>
        <v>1951432.0446513016</v>
      </c>
      <c r="L115" s="122">
        <f t="shared" si="51"/>
        <v>2105891.740996141</v>
      </c>
      <c r="M115" s="122">
        <f t="shared" si="51"/>
        <v>2256160.4521796061</v>
      </c>
      <c r="N115" s="122">
        <f t="shared" si="51"/>
        <v>2292095.6912482278</v>
      </c>
      <c r="Q115" s="120">
        <f>Q110*Q112+Q110</f>
        <v>708298.26247641689</v>
      </c>
      <c r="R115" s="120">
        <f>R110*R112+R110</f>
        <v>817686.04550477257</v>
      </c>
    </row>
    <row r="116" spans="1:18" x14ac:dyDescent="0.35">
      <c r="A116" s="63" t="s">
        <v>223</v>
      </c>
      <c r="B116" s="7">
        <f>'FY23'!G116</f>
        <v>0</v>
      </c>
      <c r="C116" s="7">
        <f>'FY24'!R116</f>
        <v>0</v>
      </c>
      <c r="D116" s="7">
        <f>'FY25'!R116</f>
        <v>0</v>
      </c>
      <c r="E116" s="7">
        <f>'FY26'!R116</f>
        <v>0</v>
      </c>
      <c r="F116" s="7">
        <f>'FY27'!R116</f>
        <v>0</v>
      </c>
      <c r="G116" s="7">
        <f>'FY28'!R116</f>
        <v>0</v>
      </c>
    </row>
    <row r="117" spans="1:18" ht="15" thickBot="1" x14ac:dyDescent="0.4">
      <c r="A117" s="82" t="s">
        <v>71</v>
      </c>
      <c r="B117" s="83">
        <f t="shared" ref="B117" si="52">SUM(B104:B116)</f>
        <v>2701040.3840000001</v>
      </c>
      <c r="C117" s="83">
        <f t="shared" ref="C117" si="53">SUM(C104:C116)</f>
        <v>4545811.0885920003</v>
      </c>
      <c r="D117" s="83">
        <f t="shared" ref="D117:E117" si="54">SUM(D104:D116)</f>
        <v>5068798.9103638399</v>
      </c>
      <c r="E117" s="83">
        <f t="shared" si="54"/>
        <v>5567591.1005316731</v>
      </c>
      <c r="F117" s="83">
        <f t="shared" ref="F117:G117" si="55">SUM(F104:F116)</f>
        <v>6011982.2884090859</v>
      </c>
      <c r="G117" s="83">
        <f t="shared" si="55"/>
        <v>6178860.9002044033</v>
      </c>
    </row>
    <row r="118" spans="1:18" x14ac:dyDescent="0.35">
      <c r="A118" s="84" t="s">
        <v>72</v>
      </c>
      <c r="B118" s="154" t="str">
        <f t="shared" ref="B118" si="56">B1</f>
        <v>FY23</v>
      </c>
      <c r="C118" s="154" t="str">
        <f t="shared" ref="C118" si="57">C1</f>
        <v>FY24</v>
      </c>
      <c r="D118" s="154" t="str">
        <f t="shared" ref="D118:E118" si="58">D1</f>
        <v>FY25</v>
      </c>
      <c r="E118" s="154" t="str">
        <f t="shared" si="58"/>
        <v>FY26</v>
      </c>
      <c r="F118" s="154" t="str">
        <f t="shared" ref="F118:G118" si="59">F1</f>
        <v>FY27</v>
      </c>
      <c r="G118" s="154" t="str">
        <f t="shared" si="59"/>
        <v>FY28</v>
      </c>
    </row>
    <row r="119" spans="1:18" x14ac:dyDescent="0.35">
      <c r="A119" s="63" t="s">
        <v>73</v>
      </c>
      <c r="B119" s="7">
        <f>'FY23'!G119</f>
        <v>0</v>
      </c>
      <c r="C119" s="7">
        <f>'FY24'!R119</f>
        <v>0</v>
      </c>
      <c r="D119" s="7">
        <f>'FY25'!R119</f>
        <v>0</v>
      </c>
      <c r="E119" s="7">
        <f>'FY26'!R119</f>
        <v>0</v>
      </c>
      <c r="F119" s="7">
        <f>'FY27'!R119</f>
        <v>0</v>
      </c>
      <c r="G119" s="7">
        <f>'FY28'!R119</f>
        <v>0</v>
      </c>
    </row>
    <row r="120" spans="1:18" x14ac:dyDescent="0.35">
      <c r="A120" s="63" t="s">
        <v>39</v>
      </c>
      <c r="B120" s="7">
        <f>'FY23'!G120</f>
        <v>0</v>
      </c>
      <c r="C120" s="7">
        <f>'FY24'!R120</f>
        <v>0</v>
      </c>
      <c r="D120" s="7">
        <f>'FY25'!R120</f>
        <v>0</v>
      </c>
      <c r="E120" s="7">
        <f>'FY26'!R120</f>
        <v>0</v>
      </c>
      <c r="F120" s="7">
        <f>'FY27'!R120</f>
        <v>0</v>
      </c>
      <c r="G120" s="7">
        <f>'FY28'!R120</f>
        <v>0</v>
      </c>
    </row>
    <row r="121" spans="1:18" x14ac:dyDescent="0.35">
      <c r="A121" s="63" t="s">
        <v>40</v>
      </c>
      <c r="B121" s="7">
        <f>'FY23'!G121</f>
        <v>49470</v>
      </c>
      <c r="C121" s="7">
        <f>'FY24'!R121</f>
        <v>50113.109999999993</v>
      </c>
      <c r="D121" s="7">
        <f>'FY25'!R121</f>
        <v>51115.372199999991</v>
      </c>
      <c r="E121" s="7">
        <f>'FY26'!R121</f>
        <v>51779.872038599984</v>
      </c>
      <c r="F121" s="7">
        <f>'FY27'!R121</f>
        <v>52453.010375101781</v>
      </c>
      <c r="G121" s="7">
        <f>'FY28'!R121</f>
        <v>53134.899509978102</v>
      </c>
    </row>
    <row r="122" spans="1:18" x14ac:dyDescent="0.35">
      <c r="A122" s="63" t="s">
        <v>41</v>
      </c>
      <c r="B122" s="7">
        <f>'FY23'!G122</f>
        <v>0</v>
      </c>
      <c r="C122" s="7">
        <f>'FY24'!R122</f>
        <v>0</v>
      </c>
      <c r="D122" s="7">
        <f>'FY25'!R122</f>
        <v>0</v>
      </c>
      <c r="E122" s="7">
        <f>'FY26'!R122</f>
        <v>0</v>
      </c>
      <c r="F122" s="7">
        <f>'FY27'!R122</f>
        <v>0</v>
      </c>
      <c r="G122" s="7">
        <f>'FY28'!R122</f>
        <v>0</v>
      </c>
    </row>
    <row r="123" spans="1:18" x14ac:dyDescent="0.35">
      <c r="A123" s="63" t="s">
        <v>74</v>
      </c>
      <c r="B123" s="7">
        <f>'FY23'!G123</f>
        <v>0</v>
      </c>
      <c r="C123" s="7">
        <f>'FY24'!R123</f>
        <v>0</v>
      </c>
      <c r="D123" s="7">
        <f>'FY25'!R123</f>
        <v>0</v>
      </c>
      <c r="E123" s="7">
        <f>'FY26'!R123</f>
        <v>0</v>
      </c>
      <c r="F123" s="7">
        <f>'FY27'!R123</f>
        <v>0</v>
      </c>
      <c r="G123" s="7">
        <f>'FY28'!R123</f>
        <v>0</v>
      </c>
    </row>
    <row r="124" spans="1:18" x14ac:dyDescent="0.35">
      <c r="A124" s="63" t="s">
        <v>43</v>
      </c>
      <c r="B124" s="7">
        <f>'FY23'!G124</f>
        <v>0</v>
      </c>
      <c r="C124" s="7">
        <f>'FY24'!R124</f>
        <v>0</v>
      </c>
      <c r="D124" s="7">
        <f>'FY25'!R124</f>
        <v>0</v>
      </c>
      <c r="E124" s="7">
        <f>'FY26'!R124</f>
        <v>0</v>
      </c>
      <c r="F124" s="7">
        <f>'FY27'!R124</f>
        <v>0</v>
      </c>
      <c r="G124" s="7">
        <f>'FY28'!R124</f>
        <v>0</v>
      </c>
    </row>
    <row r="125" spans="1:18" x14ac:dyDescent="0.35">
      <c r="A125" s="63" t="s">
        <v>75</v>
      </c>
      <c r="B125" s="7">
        <f>'FY23'!G125</f>
        <v>53040</v>
      </c>
      <c r="C125" s="7">
        <f>'FY24'!R125</f>
        <v>79729.51999999999</v>
      </c>
      <c r="D125" s="7">
        <f>'FY25'!R125</f>
        <v>81668.8704</v>
      </c>
      <c r="E125" s="7">
        <f>'FY26'!R125</f>
        <v>109944.56759519999</v>
      </c>
      <c r="F125" s="7">
        <f>'FY27'!R125</f>
        <v>111373.84697393757</v>
      </c>
      <c r="G125" s="7">
        <f>'FY28'!R125</f>
        <v>112821.70698459874</v>
      </c>
    </row>
    <row r="126" spans="1:18" x14ac:dyDescent="0.35">
      <c r="A126" s="63" t="s">
        <v>76</v>
      </c>
      <c r="B126" s="7">
        <f>'FY23'!G126</f>
        <v>0</v>
      </c>
      <c r="C126" s="7">
        <f>'FY24'!R126</f>
        <v>0</v>
      </c>
      <c r="D126" s="7">
        <f>'FY25'!R126</f>
        <v>0</v>
      </c>
      <c r="E126" s="7">
        <f>'FY26'!R126</f>
        <v>0</v>
      </c>
      <c r="F126" s="7">
        <f>'FY27'!R126</f>
        <v>0</v>
      </c>
      <c r="G126" s="7">
        <f>'FY28'!R126</f>
        <v>0</v>
      </c>
    </row>
    <row r="127" spans="1:18" x14ac:dyDescent="0.35">
      <c r="A127" s="63" t="s">
        <v>77</v>
      </c>
      <c r="B127" s="7">
        <f>'FY23'!G127</f>
        <v>14707.5</v>
      </c>
      <c r="C127" s="7">
        <f>'FY24'!R127</f>
        <v>34595</v>
      </c>
      <c r="D127" s="7">
        <f>'FY25'!R127</f>
        <v>35242.5</v>
      </c>
      <c r="E127" s="7">
        <f>'FY26'!R127</f>
        <v>35520</v>
      </c>
      <c r="F127" s="7">
        <f>'FY27'!R127</f>
        <v>36167.5</v>
      </c>
      <c r="G127" s="7">
        <f>'FY28'!R127</f>
        <v>36815</v>
      </c>
    </row>
    <row r="128" spans="1:18" x14ac:dyDescent="0.35">
      <c r="A128" s="63" t="s">
        <v>78</v>
      </c>
      <c r="B128" s="7">
        <f>'FY23'!G128</f>
        <v>11250</v>
      </c>
      <c r="C128" s="7">
        <f>'FY24'!R128</f>
        <v>45000</v>
      </c>
      <c r="D128" s="7">
        <f>'FY25'!R128</f>
        <v>45000</v>
      </c>
      <c r="E128" s="7">
        <f>'FY26'!R128</f>
        <v>45000</v>
      </c>
      <c r="F128" s="7">
        <f>'FY27'!R128</f>
        <v>45900</v>
      </c>
      <c r="G128" s="7">
        <f>'FY28'!R128</f>
        <v>45900</v>
      </c>
    </row>
    <row r="129" spans="1:18" ht="15" thickBot="1" x14ac:dyDescent="0.4">
      <c r="A129" s="82" t="s">
        <v>79</v>
      </c>
      <c r="B129" s="87">
        <f t="shared" ref="B129" si="60">SUM(B119:B128)</f>
        <v>128467.5</v>
      </c>
      <c r="C129" s="87">
        <f t="shared" ref="C129" si="61">SUM(C119:C128)</f>
        <v>209437.62999999998</v>
      </c>
      <c r="D129" s="87">
        <f t="shared" ref="D129:E129" si="62">SUM(D119:D128)</f>
        <v>213026.7426</v>
      </c>
      <c r="E129" s="87">
        <f t="shared" si="62"/>
        <v>242244.43963379998</v>
      </c>
      <c r="F129" s="87">
        <f t="shared" ref="F129:G129" si="63">SUM(F119:F128)</f>
        <v>245894.35734903935</v>
      </c>
      <c r="G129" s="87">
        <f t="shared" si="63"/>
        <v>248671.60649457684</v>
      </c>
    </row>
    <row r="130" spans="1:18" ht="15" thickBot="1" x14ac:dyDescent="0.4">
      <c r="A130" s="89" t="s">
        <v>80</v>
      </c>
      <c r="B130" s="90">
        <f t="shared" ref="B130" si="64">B117+B129</f>
        <v>2829507.8840000001</v>
      </c>
      <c r="C130" s="90">
        <f t="shared" ref="C130" si="65">C117+C129</f>
        <v>4755248.7185920002</v>
      </c>
      <c r="D130" s="90">
        <f t="shared" ref="D130:E130" si="66">D117+D129</f>
        <v>5281825.6529638395</v>
      </c>
      <c r="E130" s="90">
        <f t="shared" si="66"/>
        <v>5809835.5401654728</v>
      </c>
      <c r="F130" s="90">
        <f t="shared" ref="F130:G130" si="67">F117+F129</f>
        <v>6257876.645758125</v>
      </c>
      <c r="G130" s="90">
        <f t="shared" si="67"/>
        <v>6427532.50669898</v>
      </c>
    </row>
    <row r="131" spans="1:18" x14ac:dyDescent="0.35">
      <c r="A131" s="63" t="s">
        <v>217</v>
      </c>
      <c r="B131" s="7">
        <f>'FY23'!G131</f>
        <v>841778.59548999998</v>
      </c>
      <c r="C131" s="7">
        <f>'FY24'!R131</f>
        <v>1414686.4937811196</v>
      </c>
      <c r="D131" s="7">
        <f>'FY25'!R131</f>
        <v>1571343.1317567425</v>
      </c>
      <c r="E131" s="7">
        <f>'FY26'!R131</f>
        <v>1728426.0731992284</v>
      </c>
      <c r="F131" s="7">
        <f>'FY27'!R131</f>
        <v>1861718.302113042</v>
      </c>
      <c r="G131" s="7">
        <f>'FY28'!R131</f>
        <v>1912190.9207429464</v>
      </c>
    </row>
    <row r="132" spans="1:18" x14ac:dyDescent="0.35">
      <c r="A132" s="63" t="s">
        <v>81</v>
      </c>
      <c r="B132" s="7">
        <f>'FY23'!G132</f>
        <v>514275.51382999995</v>
      </c>
      <c r="C132" s="7">
        <f>'FY24'!R132</f>
        <v>879721.01293951983</v>
      </c>
      <c r="D132" s="7">
        <f>'FY25'!R132</f>
        <v>990342.3099307199</v>
      </c>
      <c r="E132" s="7">
        <f>'FY26'!R132</f>
        <v>1103868.7526314401</v>
      </c>
      <c r="F132" s="7">
        <f>'FY27'!R132</f>
        <v>1204641.2543084389</v>
      </c>
      <c r="G132" s="7">
        <f>'FY28'!R132</f>
        <v>1253368.8388063011</v>
      </c>
    </row>
    <row r="133" spans="1:18" x14ac:dyDescent="0.35">
      <c r="A133" s="63" t="s">
        <v>82</v>
      </c>
      <c r="B133" s="7">
        <f>'FY23'!G133</f>
        <v>68463</v>
      </c>
      <c r="C133" s="7">
        <f>'FY24'!R133</f>
        <v>79989.760000000009</v>
      </c>
      <c r="D133" s="7">
        <f>'FY25'!R133</f>
        <v>117048.90519999999</v>
      </c>
      <c r="E133" s="7">
        <f>'FY26'!R133</f>
        <v>128684.88096759999</v>
      </c>
      <c r="F133" s="7">
        <f>'FY27'!R133</f>
        <v>137012.89442017878</v>
      </c>
      <c r="G133" s="7">
        <f>'FY28'!R133</f>
        <v>139383.10204764109</v>
      </c>
    </row>
    <row r="134" spans="1:18" x14ac:dyDescent="0.35">
      <c r="A134" s="63" t="s">
        <v>83</v>
      </c>
      <c r="B134" s="7">
        <f>'FY23'!G134</f>
        <v>0</v>
      </c>
      <c r="C134" s="7">
        <f>'FY24'!R134</f>
        <v>0</v>
      </c>
      <c r="D134" s="7">
        <f>'FY25'!R134</f>
        <v>0</v>
      </c>
      <c r="E134" s="7">
        <f>'FY26'!R134</f>
        <v>0</v>
      </c>
      <c r="F134" s="7">
        <f>'FY27'!R134</f>
        <v>0</v>
      </c>
      <c r="G134" s="7">
        <f>'FY28'!R134</f>
        <v>0</v>
      </c>
    </row>
    <row r="135" spans="1:18" x14ac:dyDescent="0.35">
      <c r="A135" s="63" t="s">
        <v>84</v>
      </c>
      <c r="B135" s="7">
        <f>'FY23'!G135</f>
        <v>5400</v>
      </c>
      <c r="C135" s="7">
        <f>'FY24'!R135</f>
        <v>12600</v>
      </c>
      <c r="D135" s="7">
        <f>'FY25'!R135</f>
        <v>12600</v>
      </c>
      <c r="E135" s="7">
        <f>'FY26'!R135</f>
        <v>14400</v>
      </c>
      <c r="F135" s="7">
        <f>'FY27'!R135</f>
        <v>14400</v>
      </c>
      <c r="G135" s="7">
        <f>'FY28'!R135</f>
        <v>14400</v>
      </c>
    </row>
    <row r="136" spans="1:18" x14ac:dyDescent="0.35">
      <c r="A136" s="63" t="s">
        <v>218</v>
      </c>
      <c r="B136" s="7">
        <f>'FY23'!G136</f>
        <v>60525</v>
      </c>
      <c r="C136" s="7">
        <f>'FY24'!R136</f>
        <v>84500</v>
      </c>
      <c r="D136" s="7">
        <f>'FY25'!R136</f>
        <v>95875</v>
      </c>
      <c r="E136" s="7">
        <f>'FY26'!R136</f>
        <v>108125</v>
      </c>
      <c r="F136" s="7">
        <f>'FY27'!R136</f>
        <v>114750</v>
      </c>
      <c r="G136" s="7">
        <f>'FY28'!R136</f>
        <v>117725</v>
      </c>
    </row>
    <row r="137" spans="1:18" ht="15" thickBot="1" x14ac:dyDescent="0.4">
      <c r="A137" s="91" t="s">
        <v>85</v>
      </c>
      <c r="B137" s="87">
        <f t="shared" ref="B137" si="68">SUM(B131:B136)</f>
        <v>1490442.1093199998</v>
      </c>
      <c r="C137" s="87">
        <f t="shared" ref="C137" si="69">SUM(C131:C136)</f>
        <v>2471497.2667206395</v>
      </c>
      <c r="D137" s="87">
        <f t="shared" ref="D137:E137" si="70">SUM(D131:D136)</f>
        <v>2787209.3468874623</v>
      </c>
      <c r="E137" s="87">
        <f t="shared" si="70"/>
        <v>3083504.706798268</v>
      </c>
      <c r="F137" s="87">
        <f t="shared" ref="F137:G137" si="71">SUM(F131:F136)</f>
        <v>3332522.4508416597</v>
      </c>
      <c r="G137" s="87">
        <f t="shared" si="71"/>
        <v>3437067.8615968889</v>
      </c>
      <c r="I137" s="120">
        <f>SUM(B133:B136)+B150+B165+B174+B179+B190</f>
        <v>1660327.7250000001</v>
      </c>
      <c r="J137" s="120">
        <f t="shared" ref="J137:N137" si="72">SUM(C133:C136)+C150+C165+C174+C179+C190</f>
        <v>2400066.27</v>
      </c>
      <c r="K137" s="120">
        <f t="shared" si="72"/>
        <v>3119123.7488000002</v>
      </c>
      <c r="L137" s="120">
        <f t="shared" si="72"/>
        <v>3454773.5673476001</v>
      </c>
      <c r="M137" s="120">
        <f t="shared" si="72"/>
        <v>3703469.941255779</v>
      </c>
      <c r="N137" s="120">
        <f t="shared" si="72"/>
        <v>3682588.6280858736</v>
      </c>
      <c r="Q137" s="120">
        <f>1390995+56123+5000+43750</f>
        <v>1495868</v>
      </c>
      <c r="R137" s="120">
        <f>48902+7500+124050+435391+904277+71220+38535+46401</f>
        <v>1676276</v>
      </c>
    </row>
    <row r="138" spans="1:18" ht="15" thickBot="1" x14ac:dyDescent="0.4">
      <c r="A138" s="95" t="s">
        <v>86</v>
      </c>
      <c r="B138" s="90">
        <f t="shared" ref="B138" si="73">B130+B137</f>
        <v>4319949.9933199994</v>
      </c>
      <c r="C138" s="90">
        <f t="shared" ref="C138" si="74">C130+C137</f>
        <v>7226745.9853126397</v>
      </c>
      <c r="D138" s="90">
        <f t="shared" ref="D138:E138" si="75">D130+D137</f>
        <v>8069034.9998513013</v>
      </c>
      <c r="E138" s="90">
        <f t="shared" si="75"/>
        <v>8893340.2469637413</v>
      </c>
      <c r="F138" s="90">
        <f t="shared" ref="F138:G138" si="76">F130+F137</f>
        <v>9590399.0965997837</v>
      </c>
      <c r="G138" s="90">
        <f t="shared" si="76"/>
        <v>9864600.3682958689</v>
      </c>
    </row>
    <row r="139" spans="1:18" x14ac:dyDescent="0.35">
      <c r="A139" s="97" t="s">
        <v>87</v>
      </c>
      <c r="B139" s="153" t="str">
        <f t="shared" ref="B139" si="77">B1</f>
        <v>FY23</v>
      </c>
      <c r="C139" s="153" t="str">
        <f t="shared" ref="C139" si="78">C1</f>
        <v>FY24</v>
      </c>
      <c r="D139" s="153" t="str">
        <f t="shared" ref="D139:E139" si="79">D1</f>
        <v>FY25</v>
      </c>
      <c r="E139" s="153" t="str">
        <f t="shared" si="79"/>
        <v>FY26</v>
      </c>
      <c r="F139" s="153" t="str">
        <f t="shared" ref="F139:G139" si="80">F1</f>
        <v>FY27</v>
      </c>
      <c r="G139" s="153" t="str">
        <f t="shared" si="80"/>
        <v>FY28</v>
      </c>
    </row>
    <row r="140" spans="1:18" x14ac:dyDescent="0.35">
      <c r="A140" s="98" t="s">
        <v>88</v>
      </c>
      <c r="B140" s="7">
        <f>'FY23'!G140</f>
        <v>135100</v>
      </c>
      <c r="C140" s="7">
        <f>'FY24'!R140</f>
        <v>180240</v>
      </c>
      <c r="D140" s="7">
        <f>'FY25'!R140</f>
        <v>240380</v>
      </c>
      <c r="E140" s="7">
        <f>'FY26'!R140</f>
        <v>280200</v>
      </c>
      <c r="F140" s="7">
        <f>'FY27'!R140</f>
        <v>298800</v>
      </c>
      <c r="G140" s="7">
        <f>'FY28'!R140</f>
        <v>318720</v>
      </c>
    </row>
    <row r="141" spans="1:18" x14ac:dyDescent="0.35">
      <c r="A141" s="99" t="s">
        <v>394</v>
      </c>
      <c r="B141" s="7">
        <f>'FY23'!G141</f>
        <v>0</v>
      </c>
      <c r="C141" s="7">
        <f>'FY24'!R141</f>
        <v>0</v>
      </c>
      <c r="D141" s="7">
        <f>'FY25'!R141</f>
        <v>0</v>
      </c>
      <c r="E141" s="7">
        <f>'FY26'!R141</f>
        <v>0</v>
      </c>
      <c r="F141" s="7">
        <f>'FY27'!R141</f>
        <v>0</v>
      </c>
      <c r="G141" s="7">
        <f>'FY28'!R141</f>
        <v>0</v>
      </c>
    </row>
    <row r="142" spans="1:18" x14ac:dyDescent="0.35">
      <c r="A142" s="63" t="s">
        <v>89</v>
      </c>
      <c r="B142" s="7">
        <f>'FY23'!G142</f>
        <v>185000</v>
      </c>
      <c r="C142" s="7">
        <f>'FY24'!R142</f>
        <v>221500</v>
      </c>
      <c r="D142" s="7">
        <f>'FY25'!R142</f>
        <v>297000</v>
      </c>
      <c r="E142" s="7">
        <f>'FY26'!R142</f>
        <v>345000</v>
      </c>
      <c r="F142" s="7">
        <f>'FY27'!R142</f>
        <v>370000</v>
      </c>
      <c r="G142" s="7">
        <f>'FY28'!R142</f>
        <v>300000</v>
      </c>
    </row>
    <row r="143" spans="1:18" x14ac:dyDescent="0.35">
      <c r="A143" s="63" t="s">
        <v>90</v>
      </c>
      <c r="B143" s="7">
        <f>'FY23'!G143</f>
        <v>40000</v>
      </c>
      <c r="C143" s="7">
        <f>'FY24'!R143</f>
        <v>0</v>
      </c>
      <c r="D143" s="7">
        <f>'FY25'!R143</f>
        <v>0</v>
      </c>
      <c r="E143" s="7">
        <f>'FY26'!R143</f>
        <v>0</v>
      </c>
      <c r="F143" s="7">
        <f>'FY27'!R143</f>
        <v>0</v>
      </c>
      <c r="G143" s="7">
        <f>'FY28'!R143</f>
        <v>0</v>
      </c>
    </row>
    <row r="144" spans="1:18" x14ac:dyDescent="0.35">
      <c r="A144" s="63" t="s">
        <v>91</v>
      </c>
      <c r="B144" s="7">
        <f>'FY23'!G144</f>
        <v>13510</v>
      </c>
      <c r="C144" s="7">
        <f>'FY24'!R144</f>
        <v>21560</v>
      </c>
      <c r="D144" s="7">
        <f>'FY25'!R144</f>
        <v>24038</v>
      </c>
      <c r="E144" s="7">
        <f>'FY26'!R144</f>
        <v>26152</v>
      </c>
      <c r="F144" s="7">
        <f>'FY27'!R144</f>
        <v>27888</v>
      </c>
      <c r="G144" s="7">
        <f>'FY28'!R144</f>
        <v>27888</v>
      </c>
    </row>
    <row r="145" spans="1:7" x14ac:dyDescent="0.35">
      <c r="A145" s="63" t="s">
        <v>92</v>
      </c>
      <c r="B145" s="7">
        <f>'FY23'!G145</f>
        <v>27985</v>
      </c>
      <c r="C145" s="7">
        <f>'FY24'!R145</f>
        <v>44660</v>
      </c>
      <c r="D145" s="7">
        <f>'FY25'!R145</f>
        <v>49793</v>
      </c>
      <c r="E145" s="7">
        <f>'FY26'!R145</f>
        <v>54172</v>
      </c>
      <c r="F145" s="7">
        <f>'FY27'!R145</f>
        <v>57768</v>
      </c>
      <c r="G145" s="7">
        <f>'FY28'!R145</f>
        <v>57768</v>
      </c>
    </row>
    <row r="146" spans="1:7" x14ac:dyDescent="0.35">
      <c r="A146" s="63" t="s">
        <v>93</v>
      </c>
      <c r="B146" s="7">
        <f>'FY23'!G146</f>
        <v>4101.25</v>
      </c>
      <c r="C146" s="7">
        <f>'FY24'!R146</f>
        <v>6545</v>
      </c>
      <c r="D146" s="7">
        <f>'FY25'!R146</f>
        <v>7297.25</v>
      </c>
      <c r="E146" s="7">
        <f>'FY26'!R146</f>
        <v>7939</v>
      </c>
      <c r="F146" s="7">
        <f>'FY27'!R146</f>
        <v>8466</v>
      </c>
      <c r="G146" s="7">
        <f>'FY28'!R146</f>
        <v>8466</v>
      </c>
    </row>
    <row r="147" spans="1:7" x14ac:dyDescent="0.35">
      <c r="A147" s="63" t="s">
        <v>94</v>
      </c>
      <c r="B147" s="7">
        <f>'FY23'!G147</f>
        <v>3136.25</v>
      </c>
      <c r="C147" s="7">
        <f>'FY24'!R147</f>
        <v>5005</v>
      </c>
      <c r="D147" s="7">
        <f>'FY25'!R147</f>
        <v>5580.25</v>
      </c>
      <c r="E147" s="7">
        <f>'FY26'!R147</f>
        <v>6071</v>
      </c>
      <c r="F147" s="7">
        <f>'FY27'!R147</f>
        <v>6474</v>
      </c>
      <c r="G147" s="7">
        <f>'FY28'!R147</f>
        <v>6474</v>
      </c>
    </row>
    <row r="148" spans="1:7" x14ac:dyDescent="0.35">
      <c r="A148" s="63" t="s">
        <v>95</v>
      </c>
      <c r="B148" s="7">
        <f>'FY23'!G148</f>
        <v>12900</v>
      </c>
      <c r="C148" s="7">
        <f>'FY24'!R148</f>
        <v>25861.919999999998</v>
      </c>
      <c r="D148" s="7">
        <f>'FY25'!R148</f>
        <v>25861.919999999998</v>
      </c>
      <c r="E148" s="7">
        <f>'FY26'!R148</f>
        <v>29743.53</v>
      </c>
      <c r="F148" s="7">
        <f>'FY27'!R148</f>
        <v>33054.960000000006</v>
      </c>
      <c r="G148" s="7">
        <f>'FY28'!R148</f>
        <v>35686.559999999998</v>
      </c>
    </row>
    <row r="149" spans="1:7" ht="15" thickBot="1" x14ac:dyDescent="0.4">
      <c r="A149" s="63" t="s">
        <v>96</v>
      </c>
      <c r="B149" s="7">
        <f>'FY23'!G149</f>
        <v>0</v>
      </c>
      <c r="C149" s="7">
        <f>'FY24'!R149</f>
        <v>0</v>
      </c>
      <c r="D149" s="7">
        <f>'FY25'!R149</f>
        <v>0</v>
      </c>
      <c r="E149" s="7">
        <f>'FY26'!R149</f>
        <v>0</v>
      </c>
      <c r="F149" s="7">
        <f>'FY27'!R149</f>
        <v>0</v>
      </c>
      <c r="G149" s="7">
        <f>'FY28'!R149</f>
        <v>0</v>
      </c>
    </row>
    <row r="150" spans="1:7" ht="15" thickBot="1" x14ac:dyDescent="0.4">
      <c r="A150" s="95" t="s">
        <v>97</v>
      </c>
      <c r="B150" s="92">
        <f t="shared" ref="B150" si="81">SUM(B140:B149)</f>
        <v>421732.5</v>
      </c>
      <c r="C150" s="92">
        <f t="shared" ref="C150" si="82">SUM(C140:C149)</f>
        <v>505371.92</v>
      </c>
      <c r="D150" s="92">
        <f t="shared" ref="D150:E150" si="83">SUM(D140:D149)</f>
        <v>649950.42000000004</v>
      </c>
      <c r="E150" s="92">
        <f t="shared" si="83"/>
        <v>749277.53</v>
      </c>
      <c r="F150" s="92">
        <f t="shared" ref="F150:G150" si="84">SUM(F140:F149)</f>
        <v>802450.96</v>
      </c>
      <c r="G150" s="92">
        <f t="shared" si="84"/>
        <v>755002.56</v>
      </c>
    </row>
    <row r="151" spans="1:7" x14ac:dyDescent="0.35">
      <c r="A151" s="101" t="s">
        <v>98</v>
      </c>
      <c r="B151" s="153" t="str">
        <f t="shared" ref="B151" si="85">B1</f>
        <v>FY23</v>
      </c>
      <c r="C151" s="153" t="str">
        <f t="shared" ref="C151" si="86">C1</f>
        <v>FY24</v>
      </c>
      <c r="D151" s="153" t="str">
        <f t="shared" ref="D151:E151" si="87">D1</f>
        <v>FY25</v>
      </c>
      <c r="E151" s="153" t="str">
        <f t="shared" si="87"/>
        <v>FY26</v>
      </c>
      <c r="F151" s="153" t="str">
        <f t="shared" ref="F151:G151" si="88">F1</f>
        <v>FY27</v>
      </c>
      <c r="G151" s="153" t="str">
        <f t="shared" si="88"/>
        <v>FY28</v>
      </c>
    </row>
    <row r="152" spans="1:7" x14ac:dyDescent="0.35">
      <c r="A152" s="63" t="s">
        <v>99</v>
      </c>
      <c r="B152" s="7">
        <f>'FY23'!G152</f>
        <v>12500</v>
      </c>
      <c r="C152" s="7">
        <f>'FY24'!R152</f>
        <v>18750</v>
      </c>
      <c r="D152" s="7">
        <f>'FY25'!R152</f>
        <v>25750</v>
      </c>
      <c r="E152" s="7">
        <f>'FY26'!R152</f>
        <v>25750</v>
      </c>
      <c r="F152" s="7">
        <f>'FY27'!R152</f>
        <v>26522.5</v>
      </c>
      <c r="G152" s="7">
        <f>'FY28'!R152</f>
        <v>27318.174999999999</v>
      </c>
    </row>
    <row r="153" spans="1:7" x14ac:dyDescent="0.35">
      <c r="A153" s="63" t="s">
        <v>100</v>
      </c>
      <c r="B153" s="7">
        <f>'FY23'!G153</f>
        <v>250900</v>
      </c>
      <c r="C153" s="7">
        <f>'FY24'!R153</f>
        <v>367760</v>
      </c>
      <c r="D153" s="7">
        <f>'FY25'!R153</f>
        <v>428395</v>
      </c>
      <c r="E153" s="7">
        <f>'FY26'!R153</f>
        <v>472600</v>
      </c>
      <c r="F153" s="7">
        <f>'FY27'!R153</f>
        <v>512940</v>
      </c>
      <c r="G153" s="7">
        <f>'FY28'!R153</f>
        <v>517920</v>
      </c>
    </row>
    <row r="154" spans="1:7" x14ac:dyDescent="0.35">
      <c r="A154" s="63" t="s">
        <v>101</v>
      </c>
      <c r="B154" s="7">
        <f>'FY23'!G154</f>
        <v>0</v>
      </c>
      <c r="C154" s="7">
        <f>'FY24'!R154</f>
        <v>0</v>
      </c>
      <c r="D154" s="7">
        <f>'FY25'!R154</f>
        <v>0</v>
      </c>
      <c r="E154" s="7">
        <f>'FY26'!R154</f>
        <v>0</v>
      </c>
      <c r="F154" s="7">
        <f>'FY27'!R154</f>
        <v>0</v>
      </c>
      <c r="G154" s="7">
        <f>'FY28'!R154</f>
        <v>0</v>
      </c>
    </row>
    <row r="155" spans="1:7" x14ac:dyDescent="0.35">
      <c r="A155" s="63" t="s">
        <v>205</v>
      </c>
      <c r="B155" s="7">
        <f>'FY23'!G155</f>
        <v>434250</v>
      </c>
      <c r="C155" s="7">
        <f>'FY24'!R155</f>
        <v>448200</v>
      </c>
      <c r="D155" s="7">
        <f>'FY25'!R155</f>
        <v>772650</v>
      </c>
      <c r="E155" s="7">
        <f>'FY26'!R155</f>
        <v>840600</v>
      </c>
      <c r="F155" s="7">
        <f>'FY27'!R155</f>
        <v>896400</v>
      </c>
      <c r="G155" s="7">
        <f>'FY28'!R155</f>
        <v>896400</v>
      </c>
    </row>
    <row r="156" spans="1:7" x14ac:dyDescent="0.35">
      <c r="A156" s="63" t="s">
        <v>103</v>
      </c>
      <c r="B156" s="7">
        <f>'FY23'!G156</f>
        <v>13620</v>
      </c>
      <c r="C156" s="7">
        <f>'FY24'!R156</f>
        <v>23280</v>
      </c>
      <c r="D156" s="7">
        <f>'FY25'!R156</f>
        <v>25320</v>
      </c>
      <c r="E156" s="7">
        <f>'FY26'!R156</f>
        <v>26760</v>
      </c>
      <c r="F156" s="7">
        <f>'FY27'!R156</f>
        <v>27960</v>
      </c>
      <c r="G156" s="7">
        <f>'FY28'!R156</f>
        <v>27960</v>
      </c>
    </row>
    <row r="157" spans="1:7" x14ac:dyDescent="0.35">
      <c r="A157" s="63" t="s">
        <v>104</v>
      </c>
      <c r="B157" s="7">
        <f>'FY23'!G157</f>
        <v>28500</v>
      </c>
      <c r="C157" s="7">
        <f>'FY24'!R157</f>
        <v>29355</v>
      </c>
      <c r="D157" s="7">
        <f>'FY25'!R157</f>
        <v>30235.65</v>
      </c>
      <c r="E157" s="7">
        <f>'FY26'!R157</f>
        <v>30235.65</v>
      </c>
      <c r="F157" s="7">
        <f>'FY27'!R157</f>
        <v>31142.719500000003</v>
      </c>
      <c r="G157" s="7">
        <f>'FY28'!R157</f>
        <v>32077.001085000004</v>
      </c>
    </row>
    <row r="158" spans="1:7" x14ac:dyDescent="0.35">
      <c r="A158" s="63" t="s">
        <v>105</v>
      </c>
      <c r="B158" s="7">
        <f>'FY23'!G158</f>
        <v>5500</v>
      </c>
      <c r="C158" s="7">
        <f>'FY24'!R158</f>
        <v>11000</v>
      </c>
      <c r="D158" s="7">
        <f>'FY25'!R158</f>
        <v>11000</v>
      </c>
      <c r="E158" s="7">
        <f>'FY26'!R158</f>
        <v>11000</v>
      </c>
      <c r="F158" s="7">
        <f>'FY27'!R158</f>
        <v>11100</v>
      </c>
      <c r="G158" s="7">
        <f>'FY28'!R158</f>
        <v>11200</v>
      </c>
    </row>
    <row r="159" spans="1:7" x14ac:dyDescent="0.35">
      <c r="A159" s="63" t="s">
        <v>106</v>
      </c>
      <c r="B159" s="7">
        <f>'FY23'!G159</f>
        <v>40530</v>
      </c>
      <c r="C159" s="7">
        <f>'FY24'!R159</f>
        <v>69300</v>
      </c>
      <c r="D159" s="7">
        <f>'FY25'!R159</f>
        <v>77265</v>
      </c>
      <c r="E159" s="7">
        <f>'FY26'!R159</f>
        <v>84060</v>
      </c>
      <c r="F159" s="7">
        <f>'FY27'!R159</f>
        <v>89640</v>
      </c>
      <c r="G159" s="7">
        <f>'FY28'!R159</f>
        <v>89640</v>
      </c>
    </row>
    <row r="160" spans="1:7" x14ac:dyDescent="0.35">
      <c r="A160" s="63" t="s">
        <v>107</v>
      </c>
      <c r="B160" s="7">
        <f>'FY23'!G160</f>
        <v>7500</v>
      </c>
      <c r="C160" s="7">
        <f>'FY24'!R160</f>
        <v>25000</v>
      </c>
      <c r="D160" s="7">
        <f>'FY25'!R160</f>
        <v>20500</v>
      </c>
      <c r="E160" s="7">
        <f>'FY26'!R160</f>
        <v>20500</v>
      </c>
      <c r="F160" s="7">
        <f>'FY27'!R160</f>
        <v>20500</v>
      </c>
      <c r="G160" s="7">
        <f>'FY28'!R160</f>
        <v>17000</v>
      </c>
    </row>
    <row r="161" spans="1:7" x14ac:dyDescent="0.35">
      <c r="A161" s="63" t="s">
        <v>219</v>
      </c>
      <c r="B161" s="7">
        <f>'FY23'!G161</f>
        <v>86228.887499999997</v>
      </c>
      <c r="C161" s="7">
        <f>'FY24'!R161</f>
        <v>138888.75</v>
      </c>
      <c r="D161" s="7">
        <f>'FY25'!R161</f>
        <v>156869.41250000001</v>
      </c>
      <c r="E161" s="7">
        <f>'FY26'!R161</f>
        <v>172883.40000000002</v>
      </c>
      <c r="F161" s="7">
        <f>'FY27'!R161</f>
        <v>186750</v>
      </c>
      <c r="G161" s="7">
        <f>'FY28'!R161</f>
        <v>189190.2</v>
      </c>
    </row>
    <row r="162" spans="1:7" x14ac:dyDescent="0.35">
      <c r="A162" s="63" t="s">
        <v>108</v>
      </c>
      <c r="B162" s="7">
        <f>'FY23'!G162</f>
        <v>34132.050000000003</v>
      </c>
      <c r="C162" s="7">
        <f>'FY24'!R162</f>
        <v>55555.5</v>
      </c>
      <c r="D162" s="7">
        <f>'FY25'!R162</f>
        <v>62747.764999999999</v>
      </c>
      <c r="E162" s="7">
        <f>'FY26'!R162</f>
        <v>69153.36</v>
      </c>
      <c r="F162" s="7">
        <f>'FY27'!R162</f>
        <v>74700</v>
      </c>
      <c r="G162" s="7">
        <f>'FY28'!R162</f>
        <v>75676.08</v>
      </c>
    </row>
    <row r="163" spans="1:7" x14ac:dyDescent="0.35">
      <c r="A163" s="63" t="s">
        <v>109</v>
      </c>
      <c r="B163" s="7">
        <f>'FY23'!G163</f>
        <v>34132.050000000003</v>
      </c>
      <c r="C163" s="7">
        <f>'FY24'!R163</f>
        <v>55555.5</v>
      </c>
      <c r="D163" s="7">
        <f>'FY25'!R163</f>
        <v>62747.764999999999</v>
      </c>
      <c r="E163" s="7">
        <f>'FY26'!R163</f>
        <v>69153.36</v>
      </c>
      <c r="F163" s="7">
        <f>'FY27'!R163</f>
        <v>74700</v>
      </c>
      <c r="G163" s="7">
        <f>'FY28'!R163</f>
        <v>75676.08</v>
      </c>
    </row>
    <row r="164" spans="1:7" ht="15" thickBot="1" x14ac:dyDescent="0.4">
      <c r="A164" s="63" t="s">
        <v>110</v>
      </c>
      <c r="B164" s="7">
        <f>'FY23'!G164</f>
        <v>0</v>
      </c>
      <c r="C164" s="7">
        <f>'FY24'!R164</f>
        <v>0</v>
      </c>
      <c r="D164" s="7">
        <f>'FY25'!R164</f>
        <v>0</v>
      </c>
      <c r="E164" s="7">
        <f>'FY26'!R164</f>
        <v>0</v>
      </c>
      <c r="F164" s="7">
        <f>'FY27'!R164</f>
        <v>0</v>
      </c>
      <c r="G164" s="7">
        <f>'FY28'!R164</f>
        <v>0</v>
      </c>
    </row>
    <row r="165" spans="1:7" ht="15" thickBot="1" x14ac:dyDescent="0.4">
      <c r="A165" s="95" t="s">
        <v>111</v>
      </c>
      <c r="B165" s="92">
        <f t="shared" ref="B165" si="89">SUM(B152:B164)</f>
        <v>947792.98750000005</v>
      </c>
      <c r="C165" s="92">
        <f t="shared" ref="C165" si="90">SUM(C152:C164)</f>
        <v>1242644.75</v>
      </c>
      <c r="D165" s="92">
        <f t="shared" ref="D165:E165" si="91">SUM(D152:D164)</f>
        <v>1673480.5924999998</v>
      </c>
      <c r="E165" s="92">
        <f t="shared" si="91"/>
        <v>1822695.77</v>
      </c>
      <c r="F165" s="92">
        <f t="shared" ref="F165:G165" si="92">SUM(F152:F164)</f>
        <v>1952355.2194999999</v>
      </c>
      <c r="G165" s="92">
        <f t="shared" si="92"/>
        <v>1960057.5360850003</v>
      </c>
    </row>
    <row r="166" spans="1:7" x14ac:dyDescent="0.35">
      <c r="A166" s="101" t="s">
        <v>112</v>
      </c>
      <c r="B166" s="153" t="str">
        <f t="shared" ref="B166" si="93">B151</f>
        <v>FY23</v>
      </c>
      <c r="C166" s="153" t="str">
        <f t="shared" ref="C166" si="94">C151</f>
        <v>FY24</v>
      </c>
      <c r="D166" s="153" t="str">
        <f t="shared" ref="D166:E166" si="95">D151</f>
        <v>FY25</v>
      </c>
      <c r="E166" s="153" t="str">
        <f t="shared" si="95"/>
        <v>FY26</v>
      </c>
      <c r="F166" s="153" t="str">
        <f t="shared" ref="F166:G166" si="96">F151</f>
        <v>FY27</v>
      </c>
      <c r="G166" s="153" t="str">
        <f t="shared" si="96"/>
        <v>FY28</v>
      </c>
    </row>
    <row r="167" spans="1:7" x14ac:dyDescent="0.35">
      <c r="A167" s="63" t="s">
        <v>113</v>
      </c>
      <c r="B167" s="7">
        <f>'FY23'!G167</f>
        <v>16740</v>
      </c>
      <c r="C167" s="7">
        <f>'FY24'!R167</f>
        <v>29311.739999999998</v>
      </c>
      <c r="D167" s="7">
        <f>'FY25'!R167</f>
        <v>35518.932000000001</v>
      </c>
      <c r="E167" s="7">
        <f>'FY26'!R167</f>
        <v>35870.672880000006</v>
      </c>
      <c r="F167" s="7">
        <f>'FY27'!R167</f>
        <v>36412.215897600006</v>
      </c>
      <c r="G167" s="7">
        <f>'FY28'!R167</f>
        <v>36778.167109152011</v>
      </c>
    </row>
    <row r="168" spans="1:7" x14ac:dyDescent="0.35">
      <c r="A168" s="63" t="s">
        <v>114</v>
      </c>
      <c r="B168" s="7">
        <f>'FY23'!G168</f>
        <v>3900</v>
      </c>
      <c r="C168" s="7">
        <f>'FY24'!R168</f>
        <v>8034</v>
      </c>
      <c r="D168" s="7">
        <f>'FY25'!R168</f>
        <v>8275.02</v>
      </c>
      <c r="E168" s="7">
        <f>'FY26'!R168</f>
        <v>8356.9668000000001</v>
      </c>
      <c r="F168" s="7">
        <f>'FY27'!R168</f>
        <v>8483.1327359999996</v>
      </c>
      <c r="G168" s="7">
        <f>'FY28'!R168</f>
        <v>8568.3901867200002</v>
      </c>
    </row>
    <row r="169" spans="1:7" x14ac:dyDescent="0.35">
      <c r="A169" s="63" t="s">
        <v>115</v>
      </c>
      <c r="B169" s="7">
        <f>'FY23'!G169</f>
        <v>0</v>
      </c>
      <c r="C169" s="7">
        <f>'FY24'!R169</f>
        <v>0</v>
      </c>
      <c r="D169" s="7">
        <f>'FY25'!R169</f>
        <v>0</v>
      </c>
      <c r="E169" s="7">
        <f>'FY26'!R169</f>
        <v>0</v>
      </c>
      <c r="F169" s="7">
        <f>'FY27'!R169</f>
        <v>0</v>
      </c>
      <c r="G169" s="7">
        <f>'FY28'!R169</f>
        <v>0</v>
      </c>
    </row>
    <row r="170" spans="1:7" x14ac:dyDescent="0.35">
      <c r="A170" s="63" t="s">
        <v>116</v>
      </c>
      <c r="B170" s="7">
        <f>'FY23'!G170</f>
        <v>800</v>
      </c>
      <c r="C170" s="7">
        <f>'FY24'!R170</f>
        <v>1500</v>
      </c>
      <c r="D170" s="7">
        <f>'FY25'!R170</f>
        <v>1500</v>
      </c>
      <c r="E170" s="7">
        <f>'FY26'!R170</f>
        <v>1500</v>
      </c>
      <c r="F170" s="7">
        <f>'FY27'!R170</f>
        <v>1525</v>
      </c>
      <c r="G170" s="7">
        <f>'FY28'!R170</f>
        <v>1525</v>
      </c>
    </row>
    <row r="171" spans="1:7" x14ac:dyDescent="0.35">
      <c r="A171" s="63" t="s">
        <v>117</v>
      </c>
      <c r="B171" s="7">
        <f>'FY23'!G171</f>
        <v>4750</v>
      </c>
      <c r="C171" s="7">
        <f>'FY24'!R171</f>
        <v>9000</v>
      </c>
      <c r="D171" s="7">
        <f>'FY25'!R171</f>
        <v>9600</v>
      </c>
      <c r="E171" s="7">
        <f>'FY26'!R171</f>
        <v>9600</v>
      </c>
      <c r="F171" s="7">
        <f>'FY27'!R171</f>
        <v>10400</v>
      </c>
      <c r="G171" s="7">
        <f>'FY28'!R171</f>
        <v>10400</v>
      </c>
    </row>
    <row r="172" spans="1:7" x14ac:dyDescent="0.35">
      <c r="A172" s="63" t="s">
        <v>118</v>
      </c>
      <c r="B172" s="7">
        <f>'FY23'!G172</f>
        <v>24200</v>
      </c>
      <c r="C172" s="7">
        <f>'FY24'!R172</f>
        <v>56650</v>
      </c>
      <c r="D172" s="7">
        <f>'FY25'!R172</f>
        <v>63654</v>
      </c>
      <c r="E172" s="7">
        <f>'FY26'!R172</f>
        <v>63654</v>
      </c>
      <c r="F172" s="7">
        <f>'FY27'!R172</f>
        <v>65563.62</v>
      </c>
      <c r="G172" s="7">
        <f>'FY28'!R172</f>
        <v>65563.62</v>
      </c>
    </row>
    <row r="173" spans="1:7" ht="15" thickBot="1" x14ac:dyDescent="0.4">
      <c r="A173" s="63" t="s">
        <v>119</v>
      </c>
      <c r="B173" s="7">
        <f>'FY23'!G173</f>
        <v>3200</v>
      </c>
      <c r="C173" s="7">
        <f>'FY24'!R173</f>
        <v>6592</v>
      </c>
      <c r="D173" s="7">
        <f>'FY25'!R173</f>
        <v>6789.76</v>
      </c>
      <c r="E173" s="7">
        <f>'FY26'!R173</f>
        <v>6789.76</v>
      </c>
      <c r="F173" s="7">
        <f>'FY27'!R173</f>
        <v>6993.4528</v>
      </c>
      <c r="G173" s="7">
        <f>'FY28'!R173</f>
        <v>6993.4528</v>
      </c>
    </row>
    <row r="174" spans="1:7" ht="15" thickBot="1" x14ac:dyDescent="0.4">
      <c r="A174" s="95" t="s">
        <v>120</v>
      </c>
      <c r="B174" s="92">
        <f t="shared" ref="B174" si="97">SUM(B167:B173)</f>
        <v>53590</v>
      </c>
      <c r="C174" s="92">
        <f t="shared" ref="C174" si="98">SUM(C167:C173)</f>
        <v>111087.73999999999</v>
      </c>
      <c r="D174" s="92">
        <f t="shared" ref="D174:E174" si="99">SUM(D167:D173)</f>
        <v>125337.712</v>
      </c>
      <c r="E174" s="92">
        <f t="shared" si="99"/>
        <v>125771.39968</v>
      </c>
      <c r="F174" s="92">
        <f t="shared" ref="F174:G174" si="100">SUM(F167:F173)</f>
        <v>129377.4214336</v>
      </c>
      <c r="G174" s="92">
        <f t="shared" si="100"/>
        <v>129828.63009587201</v>
      </c>
    </row>
    <row r="175" spans="1:7" x14ac:dyDescent="0.35">
      <c r="A175" s="101" t="s">
        <v>121</v>
      </c>
      <c r="B175" s="96"/>
      <c r="C175" s="96"/>
      <c r="D175" s="96"/>
      <c r="E175" s="96"/>
      <c r="F175" s="96"/>
      <c r="G175" s="96"/>
    </row>
    <row r="176" spans="1:7" x14ac:dyDescent="0.35">
      <c r="A176" s="63" t="s">
        <v>222</v>
      </c>
      <c r="B176" s="7">
        <f>'FY23'!G176</f>
        <v>12100.000000000002</v>
      </c>
      <c r="C176" s="7">
        <f>'FY24'!R176</f>
        <v>20781.300000000003</v>
      </c>
      <c r="D176" s="7">
        <f>'FY25'!R176</f>
        <v>27509.379700000005</v>
      </c>
      <c r="E176" s="7">
        <f>'FY26'!R176</f>
        <v>28325.113300000005</v>
      </c>
      <c r="F176" s="7">
        <f>'FY27'!R176</f>
        <v>30024.620098000007</v>
      </c>
      <c r="G176" s="7">
        <f>'FY28'!R176</f>
        <v>30941.178370960006</v>
      </c>
    </row>
    <row r="177" spans="1:7" x14ac:dyDescent="0.35">
      <c r="A177" s="63" t="s">
        <v>122</v>
      </c>
      <c r="B177" s="7">
        <f>'FY23'!G177</f>
        <v>11000</v>
      </c>
      <c r="C177" s="7">
        <f>'FY24'!R177</f>
        <v>19615.3</v>
      </c>
      <c r="D177" s="7">
        <f>'FY25'!R177</f>
        <v>26273.419700000002</v>
      </c>
      <c r="E177" s="7">
        <f>'FY26'!R177</f>
        <v>27014.995700000003</v>
      </c>
      <c r="F177" s="7">
        <f>'FY27'!R177</f>
        <v>28635.895442000001</v>
      </c>
      <c r="G177" s="7">
        <f>'FY28'!R177</f>
        <v>29469.130235600001</v>
      </c>
    </row>
    <row r="178" spans="1:7" ht="15" thickBot="1" x14ac:dyDescent="0.4">
      <c r="A178" s="63" t="s">
        <v>123</v>
      </c>
      <c r="B178" s="7">
        <f>'FY23'!G178</f>
        <v>19250</v>
      </c>
      <c r="C178" s="7">
        <f>'FY24'!R178</f>
        <v>28360.3</v>
      </c>
      <c r="D178" s="7">
        <f>'FY25'!R178</f>
        <v>35543.119700000003</v>
      </c>
      <c r="E178" s="7">
        <f>'FY26'!R178</f>
        <v>36840.877700000005</v>
      </c>
      <c r="F178" s="7">
        <f>'FY27'!R178</f>
        <v>39051.330362000008</v>
      </c>
      <c r="G178" s="7">
        <f>'FY28'!R178</f>
        <v>40509.491250800005</v>
      </c>
    </row>
    <row r="179" spans="1:7" ht="15" thickBot="1" x14ac:dyDescent="0.4">
      <c r="A179" s="95" t="s">
        <v>124</v>
      </c>
      <c r="B179" s="92">
        <f t="shared" ref="B179" si="101">SUM(B176:B178)</f>
        <v>42350</v>
      </c>
      <c r="C179" s="92">
        <f t="shared" ref="C179" si="102">SUM(C176:C178)</f>
        <v>68756.900000000009</v>
      </c>
      <c r="D179" s="92">
        <f t="shared" ref="D179:E179" si="103">SUM(D176:D178)</f>
        <v>89325.919099999999</v>
      </c>
      <c r="E179" s="92">
        <f t="shared" si="103"/>
        <v>92180.986700000009</v>
      </c>
      <c r="F179" s="92">
        <f t="shared" ref="F179:G179" si="104">SUM(F176:F178)</f>
        <v>97711.845902000015</v>
      </c>
      <c r="G179" s="92">
        <f t="shared" si="104"/>
        <v>100919.79985736002</v>
      </c>
    </row>
    <row r="180" spans="1:7" x14ac:dyDescent="0.35">
      <c r="A180" s="101" t="s">
        <v>125</v>
      </c>
      <c r="B180" s="96" t="str">
        <f t="shared" ref="B180" si="105">B1</f>
        <v>FY23</v>
      </c>
      <c r="C180" s="96" t="str">
        <f t="shared" ref="C180" si="106">C1</f>
        <v>FY24</v>
      </c>
      <c r="D180" s="96" t="str">
        <f t="shared" ref="D180:E180" si="107">D1</f>
        <v>FY25</v>
      </c>
      <c r="E180" s="96" t="str">
        <f t="shared" si="107"/>
        <v>FY26</v>
      </c>
      <c r="F180" s="96" t="str">
        <f t="shared" ref="F180:G180" si="108">F1</f>
        <v>FY27</v>
      </c>
      <c r="G180" s="96" t="str">
        <f t="shared" si="108"/>
        <v>FY28</v>
      </c>
    </row>
    <row r="181" spans="1:7" x14ac:dyDescent="0.35">
      <c r="A181" s="63" t="s">
        <v>126</v>
      </c>
      <c r="B181" s="7">
        <f>'FY23'!G181</f>
        <v>43274.237500000003</v>
      </c>
      <c r="C181" s="7">
        <f>'FY24'!R181</f>
        <v>263115.20000000007</v>
      </c>
      <c r="D181" s="7">
        <f>'FY25'!R181</f>
        <v>323505.20000000007</v>
      </c>
      <c r="E181" s="7">
        <f>'FY26'!R181</f>
        <v>381638</v>
      </c>
      <c r="F181" s="7">
        <f>'FY27'!R181</f>
        <v>422411.60000000009</v>
      </c>
      <c r="G181" s="7">
        <f>'FY28'!R181</f>
        <v>432272.00000000006</v>
      </c>
    </row>
    <row r="182" spans="1:7" x14ac:dyDescent="0.35">
      <c r="A182" s="63" t="s">
        <v>127</v>
      </c>
      <c r="B182" s="7">
        <f>'FY23'!G182</f>
        <v>1500</v>
      </c>
      <c r="C182" s="7">
        <f>'FY24'!R182</f>
        <v>6500</v>
      </c>
      <c r="D182" s="7">
        <f>'FY25'!R182</f>
        <v>6500</v>
      </c>
      <c r="E182" s="7">
        <f>'FY26'!R182</f>
        <v>6500</v>
      </c>
      <c r="F182" s="7">
        <f>'FY27'!R182</f>
        <v>5000</v>
      </c>
      <c r="G182" s="7">
        <f>'FY28'!R182</f>
        <v>5000</v>
      </c>
    </row>
    <row r="183" spans="1:7" x14ac:dyDescent="0.35">
      <c r="A183" s="63" t="s">
        <v>128</v>
      </c>
      <c r="B183" s="7">
        <f>'FY23'!G183</f>
        <v>1250</v>
      </c>
      <c r="C183" s="7">
        <f>'FY24'!R183</f>
        <v>2500</v>
      </c>
      <c r="D183" s="7">
        <f>'FY25'!R183</f>
        <v>2500</v>
      </c>
      <c r="E183" s="7">
        <f>'FY26'!R183</f>
        <v>2500</v>
      </c>
      <c r="F183" s="7">
        <f>'FY27'!R183</f>
        <v>2500</v>
      </c>
      <c r="G183" s="7">
        <f>'FY28'!R183</f>
        <v>2500</v>
      </c>
    </row>
    <row r="184" spans="1:7" x14ac:dyDescent="0.35">
      <c r="A184" s="63" t="s">
        <v>129</v>
      </c>
      <c r="B184" s="7">
        <f>'FY23'!G184</f>
        <v>1200</v>
      </c>
      <c r="C184" s="7">
        <f>'FY24'!R184</f>
        <v>1500</v>
      </c>
      <c r="D184" s="7">
        <f>'FY25'!R184</f>
        <v>1500</v>
      </c>
      <c r="E184" s="7">
        <f>'FY26'!R184</f>
        <v>1500</v>
      </c>
      <c r="F184" s="7">
        <f>'FY27'!R184</f>
        <v>1500</v>
      </c>
      <c r="G184" s="7">
        <f>'FY28'!R184</f>
        <v>1500</v>
      </c>
    </row>
    <row r="185" spans="1:7" x14ac:dyDescent="0.35">
      <c r="A185" s="63" t="s">
        <v>130</v>
      </c>
      <c r="B185" s="7">
        <f>'FY23'!G185</f>
        <v>11500</v>
      </c>
      <c r="C185" s="7">
        <f>'FY24'!R185</f>
        <v>18000</v>
      </c>
      <c r="D185" s="7">
        <f>'FY25'!R185</f>
        <v>18000</v>
      </c>
      <c r="E185" s="7">
        <f>'FY26'!R185</f>
        <v>18000</v>
      </c>
      <c r="F185" s="7">
        <f>'FY27'!R185</f>
        <v>20500</v>
      </c>
      <c r="G185" s="7">
        <f>'FY28'!R185</f>
        <v>20500</v>
      </c>
    </row>
    <row r="186" spans="1:7" x14ac:dyDescent="0.35">
      <c r="A186" s="63" t="s">
        <v>131</v>
      </c>
      <c r="B186" s="7">
        <f>'FY23'!G186</f>
        <v>0</v>
      </c>
      <c r="C186" s="7">
        <f>'FY24'!R186</f>
        <v>0</v>
      </c>
      <c r="D186" s="7">
        <f>'FY25'!R186</f>
        <v>0</v>
      </c>
      <c r="E186" s="7">
        <f>'FY26'!R186</f>
        <v>0</v>
      </c>
      <c r="F186" s="7">
        <f>'FY27'!R186</f>
        <v>0</v>
      </c>
      <c r="G186" s="7">
        <f>'FY28'!R186</f>
        <v>0</v>
      </c>
    </row>
    <row r="187" spans="1:7" x14ac:dyDescent="0.35">
      <c r="A187" s="63" t="s">
        <v>132</v>
      </c>
      <c r="B187" s="7">
        <f>'FY23'!G187</f>
        <v>0</v>
      </c>
      <c r="C187" s="7">
        <f>'FY24'!R187</f>
        <v>0</v>
      </c>
      <c r="D187" s="7">
        <f>'FY25'!R187</f>
        <v>0</v>
      </c>
      <c r="E187" s="7">
        <f>'FY26'!R187</f>
        <v>0</v>
      </c>
      <c r="F187" s="7">
        <f>'FY27'!R187</f>
        <v>0</v>
      </c>
      <c r="G187" s="7">
        <f>'FY28'!R187</f>
        <v>0</v>
      </c>
    </row>
    <row r="188" spans="1:7" x14ac:dyDescent="0.35">
      <c r="A188" s="63" t="s">
        <v>133</v>
      </c>
      <c r="B188" s="7">
        <f>'FY23'!G188</f>
        <v>0</v>
      </c>
      <c r="C188" s="7">
        <f>'FY24'!R188</f>
        <v>0</v>
      </c>
      <c r="D188" s="7">
        <f>'FY25'!R188</f>
        <v>0</v>
      </c>
      <c r="E188" s="7">
        <f>'FY26'!R188</f>
        <v>0</v>
      </c>
      <c r="F188" s="7">
        <f>'FY27'!R188</f>
        <v>0</v>
      </c>
      <c r="G188" s="7">
        <f>'FY28'!R188</f>
        <v>0</v>
      </c>
    </row>
    <row r="189" spans="1:7" ht="15" thickBot="1" x14ac:dyDescent="0.4">
      <c r="A189" s="63" t="s">
        <v>134</v>
      </c>
      <c r="B189" s="7">
        <f>'FY23'!G189</f>
        <v>1750</v>
      </c>
      <c r="C189" s="7">
        <f>'FY24'!R189</f>
        <v>3500</v>
      </c>
      <c r="D189" s="7">
        <f>'FY25'!R189</f>
        <v>3500</v>
      </c>
      <c r="E189" s="7">
        <f>'FY26'!R189</f>
        <v>3500</v>
      </c>
      <c r="F189" s="7">
        <f>'FY27'!R189</f>
        <v>3500</v>
      </c>
      <c r="G189" s="7">
        <f>'FY28'!R189</f>
        <v>3500</v>
      </c>
    </row>
    <row r="190" spans="1:7" ht="15" thickBot="1" x14ac:dyDescent="0.4">
      <c r="A190" s="95" t="s">
        <v>135</v>
      </c>
      <c r="B190" s="92">
        <f t="shared" ref="B190" si="109">SUM(B181:B189)</f>
        <v>60474.237500000003</v>
      </c>
      <c r="C190" s="92">
        <f t="shared" ref="C190" si="110">SUM(C181:C189)</f>
        <v>295115.20000000007</v>
      </c>
      <c r="D190" s="92">
        <f t="shared" ref="D190:E190" si="111">SUM(D181:D189)</f>
        <v>355505.20000000007</v>
      </c>
      <c r="E190" s="92">
        <f t="shared" si="111"/>
        <v>413638</v>
      </c>
      <c r="F190" s="92">
        <f t="shared" ref="F190:G190" si="112">SUM(F181:F189)</f>
        <v>455411.60000000009</v>
      </c>
      <c r="G190" s="92">
        <f t="shared" si="112"/>
        <v>465272.00000000006</v>
      </c>
    </row>
    <row r="191" spans="1:7" x14ac:dyDescent="0.35">
      <c r="A191" s="101" t="s">
        <v>136</v>
      </c>
      <c r="B191" s="77" t="str">
        <f t="shared" ref="B191" si="113">B180</f>
        <v>FY23</v>
      </c>
      <c r="C191" s="77" t="str">
        <f t="shared" ref="C191" si="114">C180</f>
        <v>FY24</v>
      </c>
      <c r="D191" s="77" t="str">
        <f t="shared" ref="D191:E191" si="115">D180</f>
        <v>FY25</v>
      </c>
      <c r="E191" s="77" t="str">
        <f t="shared" si="115"/>
        <v>FY26</v>
      </c>
      <c r="F191" s="77" t="str">
        <f t="shared" ref="F191:G191" si="116">F180</f>
        <v>FY27</v>
      </c>
      <c r="G191" s="77" t="str">
        <f t="shared" si="116"/>
        <v>FY28</v>
      </c>
    </row>
    <row r="192" spans="1:7" x14ac:dyDescent="0.35">
      <c r="A192" s="63" t="s">
        <v>137</v>
      </c>
      <c r="B192" s="7">
        <f>'FY23'!G192</f>
        <v>60000</v>
      </c>
      <c r="C192" s="7">
        <f>'FY24'!R192</f>
        <v>92528.88</v>
      </c>
      <c r="D192" s="7">
        <f>'FY25'!R192</f>
        <v>97042.991999999998</v>
      </c>
      <c r="E192" s="7">
        <f>'FY26'!R192</f>
        <v>115170.12239999999</v>
      </c>
      <c r="F192" s="7">
        <f>'FY27'!R192</f>
        <v>119121.291096</v>
      </c>
      <c r="G192" s="7">
        <f>'FY28'!R192</f>
        <v>123726.74507880001</v>
      </c>
    </row>
    <row r="193" spans="1:7" x14ac:dyDescent="0.35">
      <c r="A193" s="63" t="s">
        <v>138</v>
      </c>
      <c r="B193" s="7">
        <f>'FY23'!G193</f>
        <v>3800</v>
      </c>
      <c r="C193" s="7">
        <f>'FY24'!R193</f>
        <v>3914</v>
      </c>
      <c r="D193" s="7">
        <f>'FY25'!R193</f>
        <v>4031.42</v>
      </c>
      <c r="E193" s="7">
        <f>'FY26'!R193</f>
        <v>4152.3626000000004</v>
      </c>
      <c r="F193" s="7">
        <f>'FY27'!R193</f>
        <v>4276.9334780000008</v>
      </c>
      <c r="G193" s="7">
        <f>'FY28'!R193</f>
        <v>4405.2414823400013</v>
      </c>
    </row>
    <row r="194" spans="1:7" x14ac:dyDescent="0.35">
      <c r="A194" s="63" t="s">
        <v>139</v>
      </c>
      <c r="B194" s="7">
        <f>'FY23'!G194</f>
        <v>6000</v>
      </c>
      <c r="C194" s="7">
        <f>'FY24'!R194</f>
        <v>10548</v>
      </c>
      <c r="D194" s="7">
        <f>'FY25'!R194</f>
        <v>10908.12</v>
      </c>
      <c r="E194" s="7">
        <f>'FY26'!R194</f>
        <v>11280.790800000002</v>
      </c>
      <c r="F194" s="7">
        <f>'FY27'!R194</f>
        <v>11666.458812000003</v>
      </c>
      <c r="G194" s="7">
        <f>'FY28'!R194</f>
        <v>12065.586635880003</v>
      </c>
    </row>
    <row r="195" spans="1:7" x14ac:dyDescent="0.35">
      <c r="A195" s="63" t="s">
        <v>140</v>
      </c>
      <c r="B195" s="7">
        <f>'FY23'!G195</f>
        <v>24000</v>
      </c>
      <c r="C195" s="7">
        <f>'FY24'!R195</f>
        <v>35604.016000000003</v>
      </c>
      <c r="D195" s="7">
        <f>'FY25'!R195</f>
        <v>37287.814400000003</v>
      </c>
      <c r="E195" s="7">
        <f>'FY26'!R195</f>
        <v>43795.823680000001</v>
      </c>
      <c r="F195" s="7">
        <f>'FY27'!R195</f>
        <v>45285.402147200009</v>
      </c>
      <c r="G195" s="7">
        <f>'FY28'!R195</f>
        <v>46826.696118688007</v>
      </c>
    </row>
    <row r="196" spans="1:7" x14ac:dyDescent="0.35">
      <c r="A196" s="63" t="s">
        <v>141</v>
      </c>
      <c r="B196" s="7">
        <f>'FY23'!G196</f>
        <v>7000</v>
      </c>
      <c r="C196" s="7">
        <f>'FY24'!R196</f>
        <v>14420</v>
      </c>
      <c r="D196" s="7">
        <f>'FY25'!R196</f>
        <v>14852.6</v>
      </c>
      <c r="E196" s="7">
        <f>'FY26'!R196</f>
        <v>15298.178</v>
      </c>
      <c r="F196" s="7">
        <f>'FY27'!R196</f>
        <v>15833.614229999999</v>
      </c>
      <c r="G196" s="7">
        <f>'FY28'!R196</f>
        <v>16467.723708099998</v>
      </c>
    </row>
    <row r="197" spans="1:7" x14ac:dyDescent="0.35">
      <c r="A197" s="63" t="s">
        <v>142</v>
      </c>
      <c r="B197" s="7">
        <f>'FY23'!G197</f>
        <v>108633.2</v>
      </c>
      <c r="C197" s="7">
        <f>'FY24'!R197</f>
        <v>202342.196</v>
      </c>
      <c r="D197" s="7">
        <f>'FY25'!R197</f>
        <v>212583.96188000002</v>
      </c>
      <c r="E197" s="7">
        <f>'FY26'!R197</f>
        <v>237412.86147280002</v>
      </c>
      <c r="F197" s="7">
        <f>'FY27'!R197</f>
        <v>244535.24731698402</v>
      </c>
      <c r="G197" s="7">
        <f>'FY28'!R197</f>
        <v>251871.30473649356</v>
      </c>
    </row>
    <row r="198" spans="1:7" x14ac:dyDescent="0.35">
      <c r="A198" s="63" t="s">
        <v>143</v>
      </c>
      <c r="B198" s="7">
        <f>'FY23'!G198</f>
        <v>30880</v>
      </c>
      <c r="C198" s="7">
        <f>'FY24'!R198</f>
        <v>49280</v>
      </c>
      <c r="D198" s="7">
        <f>'FY25'!R198</f>
        <v>54944</v>
      </c>
      <c r="E198" s="7">
        <f>'FY26'!R198</f>
        <v>59776</v>
      </c>
      <c r="F198" s="7">
        <f>'FY27'!R198</f>
        <v>63744</v>
      </c>
      <c r="G198" s="7">
        <f>'FY28'!R198</f>
        <v>63744</v>
      </c>
    </row>
    <row r="199" spans="1:7" x14ac:dyDescent="0.35">
      <c r="A199" s="63" t="s">
        <v>145</v>
      </c>
      <c r="B199" s="7">
        <f>'FY23'!G199</f>
        <v>41000</v>
      </c>
      <c r="C199" s="7">
        <f>'FY24'!R199</f>
        <v>62500</v>
      </c>
      <c r="D199" s="7">
        <f>'FY25'!R199</f>
        <v>76000</v>
      </c>
      <c r="E199" s="7">
        <f>'FY26'!R199</f>
        <v>81000</v>
      </c>
      <c r="F199" s="7">
        <f>'FY27'!R199</f>
        <v>80000</v>
      </c>
      <c r="G199" s="7">
        <f>'FY28'!R199</f>
        <v>90000</v>
      </c>
    </row>
    <row r="200" spans="1:7" x14ac:dyDescent="0.35">
      <c r="A200" s="63" t="s">
        <v>146</v>
      </c>
      <c r="B200" s="7">
        <f>'FY23'!G200</f>
        <v>17472</v>
      </c>
      <c r="C200" s="7">
        <f>'FY24'!R200</f>
        <v>28143.101999999999</v>
      </c>
      <c r="D200" s="7">
        <f>'FY25'!R200</f>
        <v>32158.000800000002</v>
      </c>
      <c r="E200" s="7">
        <f>'FY26'!R200</f>
        <v>32640.370812000001</v>
      </c>
      <c r="F200" s="7">
        <f>'FY27'!R200</f>
        <v>34116.423048720004</v>
      </c>
      <c r="G200" s="7">
        <f>'FY28'!R200</f>
        <v>35481.079970668805</v>
      </c>
    </row>
    <row r="201" spans="1:7" x14ac:dyDescent="0.35">
      <c r="A201" s="63" t="s">
        <v>147</v>
      </c>
      <c r="B201" s="7">
        <f>'FY23'!G201</f>
        <v>15500</v>
      </c>
      <c r="C201" s="7">
        <f>'FY24'!R201</f>
        <v>25500</v>
      </c>
      <c r="D201" s="7">
        <f>'FY25'!R201</f>
        <v>26500</v>
      </c>
      <c r="E201" s="7">
        <f>'FY26'!R201</f>
        <v>26500</v>
      </c>
      <c r="F201" s="7">
        <f>'FY27'!R201</f>
        <v>26500</v>
      </c>
      <c r="G201" s="7">
        <f>'FY28'!R201</f>
        <v>26500</v>
      </c>
    </row>
    <row r="202" spans="1:7" ht="15" thickBot="1" x14ac:dyDescent="0.4">
      <c r="A202" s="63" t="s">
        <v>148</v>
      </c>
      <c r="B202" s="7">
        <f>'FY23'!G202</f>
        <v>9426</v>
      </c>
      <c r="C202" s="7">
        <f>'FY24'!R202</f>
        <v>19417.560000000001</v>
      </c>
      <c r="D202" s="7">
        <f>'FY25'!R202</f>
        <v>20097.174600000002</v>
      </c>
      <c r="E202" s="7">
        <f>'FY26'!R202</f>
        <v>20397.175902000003</v>
      </c>
      <c r="F202" s="7">
        <f>'FY27'!R202</f>
        <v>21947.134085100006</v>
      </c>
      <c r="G202" s="7">
        <f>'FY28'!R202</f>
        <v>23155.811660835003</v>
      </c>
    </row>
    <row r="203" spans="1:7" ht="15" thickBot="1" x14ac:dyDescent="0.4">
      <c r="A203" s="95" t="s">
        <v>149</v>
      </c>
      <c r="B203" s="90">
        <f t="shared" ref="B203" si="117">SUM(B192:B202)</f>
        <v>323711.2</v>
      </c>
      <c r="C203" s="90">
        <f t="shared" ref="C203" si="118">SUM(C192:C202)</f>
        <v>544197.75400000007</v>
      </c>
      <c r="D203" s="90">
        <f t="shared" ref="D203:E203" si="119">SUM(D192:D202)</f>
        <v>586406.08368000004</v>
      </c>
      <c r="E203" s="90">
        <f t="shared" si="119"/>
        <v>647423.68566680013</v>
      </c>
      <c r="F203" s="90">
        <f t="shared" ref="F203:G203" si="120">SUM(F192:F202)</f>
        <v>667026.50421400403</v>
      </c>
      <c r="G203" s="90">
        <f t="shared" si="120"/>
        <v>694244.18939180544</v>
      </c>
    </row>
    <row r="204" spans="1:7" ht="15" thickBot="1" x14ac:dyDescent="0.4">
      <c r="A204" s="102"/>
      <c r="B204" s="103"/>
      <c r="C204" s="103"/>
      <c r="D204" s="103"/>
      <c r="E204" s="103"/>
      <c r="F204" s="103"/>
      <c r="G204" s="103"/>
    </row>
    <row r="205" spans="1:7" ht="15" thickBot="1" x14ac:dyDescent="0.4">
      <c r="A205" s="95" t="s">
        <v>150</v>
      </c>
      <c r="B205" s="104">
        <f t="shared" ref="B205:G205" si="121">B138+B150+B165+B174+B179+B190+B203</f>
        <v>6169600.9183199992</v>
      </c>
      <c r="C205" s="104">
        <f t="shared" si="121"/>
        <v>9993920.2493126392</v>
      </c>
      <c r="D205" s="104">
        <f t="shared" si="121"/>
        <v>11549040.927131299</v>
      </c>
      <c r="E205" s="104">
        <f t="shared" si="121"/>
        <v>12744327.61901054</v>
      </c>
      <c r="F205" s="104">
        <f t="shared" si="121"/>
        <v>13694732.647649387</v>
      </c>
      <c r="G205" s="104">
        <f t="shared" si="121"/>
        <v>13969925.083725905</v>
      </c>
    </row>
    <row r="206" spans="1:7" x14ac:dyDescent="0.35">
      <c r="A206" s="105"/>
      <c r="B206" s="62"/>
      <c r="C206" s="62"/>
      <c r="D206" s="62"/>
      <c r="E206" s="62"/>
      <c r="F206" s="62"/>
      <c r="G206" s="62"/>
    </row>
    <row r="207" spans="1:7" x14ac:dyDescent="0.35">
      <c r="A207" s="106" t="s">
        <v>151</v>
      </c>
      <c r="B207" s="7">
        <f>'FY23'!G207</f>
        <v>0</v>
      </c>
      <c r="C207" s="7">
        <f>'FY24'!R207</f>
        <v>600000</v>
      </c>
      <c r="D207" s="7">
        <f>'FY25'!R207</f>
        <v>900000</v>
      </c>
      <c r="E207" s="7">
        <f>'FY26'!R207</f>
        <v>1200000</v>
      </c>
      <c r="F207" s="7">
        <f>'FY27'!R207</f>
        <v>1430000</v>
      </c>
      <c r="G207" s="7">
        <f>'FY28'!R207</f>
        <v>1459000</v>
      </c>
    </row>
    <row r="208" spans="1:7" x14ac:dyDescent="0.35">
      <c r="A208" s="106" t="s">
        <v>152</v>
      </c>
      <c r="B208" s="7">
        <f>'FY23'!G208</f>
        <v>1001588</v>
      </c>
      <c r="C208" s="7">
        <f>'FY24'!R208</f>
        <v>1114865</v>
      </c>
      <c r="D208" s="7">
        <f>'FY25'!R208</f>
        <v>1124993.24</v>
      </c>
      <c r="E208" s="7">
        <f>'FY26'!R208</f>
        <v>1189906.77</v>
      </c>
      <c r="F208" s="7">
        <f>'FY27'!R208</f>
        <v>1196533.33</v>
      </c>
      <c r="G208" s="7">
        <f>'FY28'!R208</f>
        <v>1196783.33</v>
      </c>
    </row>
    <row r="209" spans="1:7" hidden="1" x14ac:dyDescent="0.35">
      <c r="A209" s="106"/>
      <c r="B209" s="7">
        <f>'FY23'!G209</f>
        <v>0</v>
      </c>
      <c r="C209" s="7">
        <f>'FY24'!R209</f>
        <v>0</v>
      </c>
      <c r="D209" s="7">
        <f>'FY25'!R209</f>
        <v>0</v>
      </c>
      <c r="E209" s="7">
        <f>'FY26'!R209</f>
        <v>0</v>
      </c>
      <c r="F209" s="7">
        <f>'FY27'!R209</f>
        <v>0</v>
      </c>
      <c r="G209" s="7">
        <f>'FY28'!R209</f>
        <v>0</v>
      </c>
    </row>
    <row r="210" spans="1:7" hidden="1" x14ac:dyDescent="0.35">
      <c r="A210" s="106"/>
      <c r="B210" s="7">
        <f>'FY23'!G210</f>
        <v>0</v>
      </c>
      <c r="C210" s="7">
        <f>'FY24'!R210</f>
        <v>0</v>
      </c>
      <c r="D210" s="7">
        <f>'FY25'!R210</f>
        <v>0</v>
      </c>
      <c r="E210" s="7">
        <f>'FY26'!R210</f>
        <v>0</v>
      </c>
      <c r="F210" s="7">
        <f>'FY27'!R210</f>
        <v>0</v>
      </c>
      <c r="G210" s="7">
        <f>'FY28'!R210</f>
        <v>0</v>
      </c>
    </row>
    <row r="211" spans="1:7" hidden="1" x14ac:dyDescent="0.35">
      <c r="A211" s="106"/>
      <c r="B211" s="7">
        <f>'FY23'!G211</f>
        <v>0</v>
      </c>
      <c r="C211" s="7">
        <f>'FY24'!R211</f>
        <v>0</v>
      </c>
      <c r="D211" s="7">
        <f>'FY25'!R211</f>
        <v>0</v>
      </c>
      <c r="E211" s="7">
        <f>'FY26'!R211</f>
        <v>0</v>
      </c>
      <c r="F211" s="7">
        <f>'FY27'!R211</f>
        <v>0</v>
      </c>
      <c r="G211" s="7">
        <f>'FY28'!R211</f>
        <v>0</v>
      </c>
    </row>
    <row r="212" spans="1:7" hidden="1" x14ac:dyDescent="0.35">
      <c r="A212" s="106"/>
      <c r="B212" s="7">
        <f>'FY23'!G212</f>
        <v>0</v>
      </c>
      <c r="C212" s="7">
        <f>'FY24'!R212</f>
        <v>0</v>
      </c>
      <c r="D212" s="7">
        <f>'FY25'!R212</f>
        <v>0</v>
      </c>
      <c r="E212" s="7">
        <f>'FY26'!R212</f>
        <v>0</v>
      </c>
      <c r="F212" s="7">
        <f>'FY27'!R212</f>
        <v>0</v>
      </c>
      <c r="G212" s="7">
        <f>'FY28'!R212</f>
        <v>0</v>
      </c>
    </row>
    <row r="213" spans="1:7" hidden="1" x14ac:dyDescent="0.35">
      <c r="A213" s="106"/>
      <c r="B213" s="7">
        <f>'FY23'!G213</f>
        <v>0</v>
      </c>
      <c r="C213" s="7">
        <f>'FY24'!R213</f>
        <v>0</v>
      </c>
      <c r="D213" s="7">
        <f>'FY25'!R213</f>
        <v>0</v>
      </c>
      <c r="E213" s="7">
        <f>'FY26'!R213</f>
        <v>0</v>
      </c>
      <c r="F213" s="7">
        <f>'FY27'!R213</f>
        <v>0</v>
      </c>
      <c r="G213" s="7">
        <f>'FY28'!R213</f>
        <v>0</v>
      </c>
    </row>
    <row r="214" spans="1:7" x14ac:dyDescent="0.35">
      <c r="A214" s="106" t="s">
        <v>152</v>
      </c>
      <c r="B214" s="7">
        <f>'FY23'!G214</f>
        <v>0</v>
      </c>
      <c r="C214" s="7">
        <f>'FY24'!R214</f>
        <v>0</v>
      </c>
      <c r="D214" s="7">
        <f>'FY25'!R214</f>
        <v>0</v>
      </c>
      <c r="E214" s="7">
        <f>'FY26'!R214</f>
        <v>0</v>
      </c>
      <c r="F214" s="7">
        <f>'FY27'!R214</f>
        <v>0</v>
      </c>
      <c r="G214" s="7">
        <f>'FY28'!R214</f>
        <v>0</v>
      </c>
    </row>
    <row r="215" spans="1:7" x14ac:dyDescent="0.35">
      <c r="A215" s="107" t="s">
        <v>153</v>
      </c>
      <c r="B215" s="7">
        <f>'FY23'!G215</f>
        <v>0</v>
      </c>
      <c r="C215" s="7">
        <f>'FY24'!R215</f>
        <v>0</v>
      </c>
      <c r="D215" s="7">
        <f>'FY25'!R215</f>
        <v>0</v>
      </c>
      <c r="E215" s="7">
        <f>'FY26'!R215</f>
        <v>0</v>
      </c>
      <c r="F215" s="7">
        <f>'FY27'!R215</f>
        <v>0</v>
      </c>
      <c r="G215" s="7">
        <f>'FY28'!R215</f>
        <v>0</v>
      </c>
    </row>
    <row r="216" spans="1:7" x14ac:dyDescent="0.35">
      <c r="A216" s="150"/>
      <c r="B216" s="7">
        <f>'FY23'!G216</f>
        <v>0</v>
      </c>
      <c r="C216" s="7">
        <f>'FY24'!R216</f>
        <v>0</v>
      </c>
      <c r="D216" s="7">
        <f>'FY25'!R216</f>
        <v>0</v>
      </c>
      <c r="E216" s="7">
        <f>'FY26'!R216</f>
        <v>0</v>
      </c>
      <c r="F216" s="7">
        <f>'FY27'!R216</f>
        <v>0</v>
      </c>
      <c r="G216" s="7">
        <f>'FY28'!R216</f>
        <v>0</v>
      </c>
    </row>
    <row r="217" spans="1:7" x14ac:dyDescent="0.35">
      <c r="A217" s="151"/>
      <c r="B217" s="7"/>
      <c r="C217" s="7"/>
      <c r="D217" s="7"/>
      <c r="E217" s="7"/>
      <c r="F217" s="7"/>
      <c r="G217" s="7"/>
    </row>
    <row r="218" spans="1:7" ht="15" thickBot="1" x14ac:dyDescent="0.4">
      <c r="A218" s="148" t="s">
        <v>154</v>
      </c>
      <c r="B218" s="149">
        <f t="shared" ref="B218" si="122">B87-B205-B207-B208-B214-B215</f>
        <v>211202.03668000083</v>
      </c>
      <c r="C218" s="149">
        <f t="shared" ref="C218" si="123">C87-C205-C207-C208-C214-C215</f>
        <v>263216.75068736076</v>
      </c>
      <c r="D218" s="149">
        <f t="shared" ref="D218:E218" si="124">D87-D205-D207-D208-D214-D215</f>
        <v>360404.26286870264</v>
      </c>
      <c r="E218" s="149">
        <f t="shared" si="124"/>
        <v>328757.55098945973</v>
      </c>
      <c r="F218" s="149">
        <f t="shared" ref="F218:G218" si="125">F87-F205-F207-F208-F214-F215</f>
        <v>463146.94235061482</v>
      </c>
      <c r="G218" s="149">
        <f t="shared" si="125"/>
        <v>512111.22627409175</v>
      </c>
    </row>
    <row r="219" spans="1:7" ht="15" thickBot="1" x14ac:dyDescent="0.4">
      <c r="A219" s="108"/>
      <c r="B219" s="110">
        <f t="shared" ref="B219" si="126">B218/(B87-B77)</f>
        <v>2.8762618309981069E-2</v>
      </c>
      <c r="C219" s="110">
        <f t="shared" ref="C219" si="127">C218/(C87-C77)</f>
        <v>2.2457314679422677E-2</v>
      </c>
      <c r="D219" s="110">
        <f t="shared" ref="D219:E219" si="128">D218/(D87-D77)</f>
        <v>2.6450848647731375E-2</v>
      </c>
      <c r="E219" s="110">
        <f t="shared" si="128"/>
        <v>2.1780995947252305E-2</v>
      </c>
      <c r="F219" s="110">
        <f t="shared" ref="F219:G219" si="129">F218/(F87-F77)</f>
        <v>2.827259262809655E-2</v>
      </c>
      <c r="G219" s="110">
        <f t="shared" si="129"/>
        <v>3.0619455071823298E-2</v>
      </c>
    </row>
    <row r="220" spans="1:7" x14ac:dyDescent="0.35">
      <c r="B220" s="111"/>
      <c r="C220" s="111"/>
      <c r="D220" s="111"/>
      <c r="E220" s="111"/>
      <c r="F220" s="111"/>
      <c r="G220" s="111"/>
    </row>
    <row r="221" spans="1:7" x14ac:dyDescent="0.35">
      <c r="A221" s="174" t="str">
        <f>A1</f>
        <v>DANN System</v>
      </c>
      <c r="B221" s="174" t="str">
        <f t="shared" ref="B221" si="130">B1</f>
        <v>FY23</v>
      </c>
      <c r="C221" s="174" t="str">
        <f t="shared" ref="C221" si="131">C1</f>
        <v>FY24</v>
      </c>
      <c r="D221" s="174" t="str">
        <f t="shared" ref="D221:E221" si="132">D1</f>
        <v>FY25</v>
      </c>
      <c r="E221" s="174" t="str">
        <f t="shared" si="132"/>
        <v>FY26</v>
      </c>
      <c r="F221" s="174" t="str">
        <f t="shared" ref="F221:G221" si="133">F1</f>
        <v>FY27</v>
      </c>
      <c r="G221" s="174" t="str">
        <f t="shared" si="133"/>
        <v>FY28</v>
      </c>
    </row>
    <row r="222" spans="1:7" x14ac:dyDescent="0.35">
      <c r="B222" s="109"/>
      <c r="C222" s="109"/>
      <c r="D222" s="109"/>
      <c r="E222" s="109"/>
      <c r="F222" s="109"/>
      <c r="G222" s="109"/>
    </row>
    <row r="223" spans="1:7" hidden="1" x14ac:dyDescent="0.35">
      <c r="B223" t="b">
        <f>B218='FY23'!G218</f>
        <v>1</v>
      </c>
      <c r="C223" t="b">
        <f>C218='FY24'!R218</f>
        <v>1</v>
      </c>
      <c r="D223" t="b">
        <f>D218='FY25'!R218</f>
        <v>1</v>
      </c>
      <c r="E223" t="b">
        <f>E218='FY26'!R218</f>
        <v>1</v>
      </c>
      <c r="F223" t="b">
        <f>F218='FY27'!R218</f>
        <v>1</v>
      </c>
      <c r="G223" t="b">
        <f>G218='FY28'!R218</f>
        <v>1</v>
      </c>
    </row>
    <row r="224" spans="1:7" hidden="1" x14ac:dyDescent="0.35"/>
    <row r="225" spans="1:7" hidden="1" x14ac:dyDescent="0.35"/>
    <row r="226" spans="1:7" x14ac:dyDescent="0.35">
      <c r="A226" s="285" t="s">
        <v>335</v>
      </c>
      <c r="B226" s="286">
        <f t="shared" ref="B226:G226" si="134">B87-B205</f>
        <v>1212790.0366800008</v>
      </c>
      <c r="C226" s="286">
        <f t="shared" si="134"/>
        <v>1978081.7506873608</v>
      </c>
      <c r="D226" s="286">
        <f t="shared" si="134"/>
        <v>2385397.5028687026</v>
      </c>
      <c r="E226" s="286">
        <f t="shared" si="134"/>
        <v>2718664.3209894598</v>
      </c>
      <c r="F226" s="286">
        <f t="shared" si="134"/>
        <v>3089680.2723506149</v>
      </c>
      <c r="G226" s="286">
        <f t="shared" si="134"/>
        <v>3167894.5562740918</v>
      </c>
    </row>
    <row r="227" spans="1:7" x14ac:dyDescent="0.35">
      <c r="B227" s="287"/>
      <c r="C227" s="287"/>
      <c r="D227" s="287"/>
      <c r="E227" s="287"/>
      <c r="F227" s="287"/>
      <c r="G227" s="287"/>
    </row>
    <row r="228" spans="1:7" x14ac:dyDescent="0.35">
      <c r="A228" t="str">
        <f>A207</f>
        <v>Scheduled Lease Payment</v>
      </c>
      <c r="B228" s="288">
        <f t="shared" ref="B228" si="135">B207</f>
        <v>0</v>
      </c>
      <c r="C228" s="288">
        <f t="shared" ref="C228:G228" si="136">C207</f>
        <v>600000</v>
      </c>
      <c r="D228" s="288">
        <f t="shared" si="136"/>
        <v>900000</v>
      </c>
      <c r="E228" s="288">
        <f t="shared" si="136"/>
        <v>1200000</v>
      </c>
      <c r="F228" s="288">
        <f t="shared" si="136"/>
        <v>1430000</v>
      </c>
      <c r="G228" s="288">
        <f t="shared" si="136"/>
        <v>1459000</v>
      </c>
    </row>
    <row r="229" spans="1:7" x14ac:dyDescent="0.35">
      <c r="A229" t="str">
        <f>A208</f>
        <v>Scheduled Bond Payment</v>
      </c>
      <c r="B229" s="288">
        <f>B208</f>
        <v>1001588</v>
      </c>
      <c r="C229" s="288">
        <f t="shared" ref="C229:G229" si="137">C208</f>
        <v>1114865</v>
      </c>
      <c r="D229" s="288">
        <f t="shared" si="137"/>
        <v>1124993.24</v>
      </c>
      <c r="E229" s="288">
        <f t="shared" si="137"/>
        <v>1189906.77</v>
      </c>
      <c r="F229" s="288">
        <f t="shared" si="137"/>
        <v>1196533.33</v>
      </c>
      <c r="G229" s="288">
        <f t="shared" si="137"/>
        <v>1196783.33</v>
      </c>
    </row>
    <row r="230" spans="1:7" x14ac:dyDescent="0.35">
      <c r="B230" s="288">
        <f t="shared" ref="B230" si="138">B215</f>
        <v>0</v>
      </c>
      <c r="C230" s="288">
        <f t="shared" ref="C230:G230" si="139">C215</f>
        <v>0</v>
      </c>
      <c r="D230" s="288">
        <f t="shared" si="139"/>
        <v>0</v>
      </c>
      <c r="E230" s="288">
        <f t="shared" si="139"/>
        <v>0</v>
      </c>
      <c r="F230" s="288">
        <f t="shared" si="139"/>
        <v>0</v>
      </c>
      <c r="G230" s="288">
        <f t="shared" si="139"/>
        <v>0</v>
      </c>
    </row>
    <row r="231" spans="1:7" x14ac:dyDescent="0.35">
      <c r="A231" s="289" t="s">
        <v>336</v>
      </c>
      <c r="B231" s="290">
        <f t="shared" ref="B231:G231" si="140">SUM(B228:B230)</f>
        <v>1001588</v>
      </c>
      <c r="C231" s="290">
        <f t="shared" si="140"/>
        <v>1714865</v>
      </c>
      <c r="D231" s="290">
        <f t="shared" si="140"/>
        <v>2024993.24</v>
      </c>
      <c r="E231" s="290">
        <f t="shared" si="140"/>
        <v>2389906.77</v>
      </c>
      <c r="F231" s="290">
        <f t="shared" si="140"/>
        <v>2626533.33</v>
      </c>
      <c r="G231" s="290">
        <f t="shared" si="140"/>
        <v>2655783.33</v>
      </c>
    </row>
    <row r="232" spans="1:7" x14ac:dyDescent="0.35">
      <c r="B232" s="287"/>
      <c r="C232" s="287"/>
      <c r="D232" s="287"/>
      <c r="E232" s="287"/>
      <c r="F232" s="287"/>
      <c r="G232" s="287"/>
    </row>
    <row r="233" spans="1:7" x14ac:dyDescent="0.35">
      <c r="A233" s="285" t="s">
        <v>337</v>
      </c>
      <c r="B233" s="291">
        <f t="shared" ref="B233:G233" si="141">B226/B231</f>
        <v>1.210867179598798</v>
      </c>
      <c r="C233" s="291">
        <f t="shared" si="141"/>
        <v>1.1534912373203492</v>
      </c>
      <c r="D233" s="291">
        <f t="shared" si="141"/>
        <v>1.1779780079012523</v>
      </c>
      <c r="E233" s="291">
        <f t="shared" si="141"/>
        <v>1.1375608266884234</v>
      </c>
      <c r="F233" s="291">
        <f t="shared" si="141"/>
        <v>1.1763339292369135</v>
      </c>
      <c r="G233" s="291">
        <f t="shared" si="141"/>
        <v>1.1928286921938365</v>
      </c>
    </row>
    <row r="234" spans="1:7" x14ac:dyDescent="0.35">
      <c r="B234" s="287"/>
      <c r="C234" s="287"/>
      <c r="D234" s="287"/>
      <c r="E234" s="287"/>
      <c r="F234" s="287"/>
      <c r="G234" s="287"/>
    </row>
    <row r="235" spans="1:7" x14ac:dyDescent="0.35">
      <c r="A235" s="292" t="s">
        <v>338</v>
      </c>
      <c r="B235" s="292"/>
      <c r="C235" s="292"/>
      <c r="D235" s="292"/>
      <c r="E235" s="292"/>
      <c r="F235" s="292"/>
      <c r="G235" s="292"/>
    </row>
    <row r="236" spans="1:7" x14ac:dyDescent="0.35">
      <c r="A236" t="s">
        <v>404</v>
      </c>
      <c r="B236" s="293">
        <v>1835023</v>
      </c>
      <c r="C236" s="293">
        <f t="shared" ref="C236:G236" si="142">B239</f>
        <v>2046225.0366800008</v>
      </c>
      <c r="D236" s="293">
        <f t="shared" si="142"/>
        <v>2309441.7873673616</v>
      </c>
      <c r="E236" s="293">
        <f t="shared" si="142"/>
        <v>2669846.050236064</v>
      </c>
      <c r="F236" s="293">
        <f t="shared" si="142"/>
        <v>2998603.6012255237</v>
      </c>
      <c r="G236" s="293">
        <f t="shared" si="142"/>
        <v>3461750.5435761386</v>
      </c>
    </row>
    <row r="237" spans="1:7" x14ac:dyDescent="0.35">
      <c r="A237" s="287" t="s">
        <v>340</v>
      </c>
      <c r="B237" s="294">
        <v>0</v>
      </c>
      <c r="C237" s="294">
        <v>0</v>
      </c>
      <c r="D237" s="294">
        <v>0</v>
      </c>
      <c r="E237" s="294">
        <v>0</v>
      </c>
      <c r="F237" s="294">
        <v>0</v>
      </c>
      <c r="G237" s="294">
        <v>0</v>
      </c>
    </row>
    <row r="238" spans="1:7" x14ac:dyDescent="0.35">
      <c r="A238" s="287" t="s">
        <v>341</v>
      </c>
      <c r="B238" s="294">
        <f t="shared" ref="B238:G238" si="143">B218</f>
        <v>211202.03668000083</v>
      </c>
      <c r="C238" s="294">
        <f t="shared" si="143"/>
        <v>263216.75068736076</v>
      </c>
      <c r="D238" s="294">
        <f t="shared" si="143"/>
        <v>360404.26286870264</v>
      </c>
      <c r="E238" s="294">
        <f t="shared" si="143"/>
        <v>328757.55098945973</v>
      </c>
      <c r="F238" s="294">
        <f t="shared" si="143"/>
        <v>463146.94235061482</v>
      </c>
      <c r="G238" s="294">
        <f t="shared" si="143"/>
        <v>512111.22627409175</v>
      </c>
    </row>
    <row r="239" spans="1:7" x14ac:dyDescent="0.35">
      <c r="A239" s="295" t="s">
        <v>342</v>
      </c>
      <c r="B239" s="296">
        <f>B236+B237+B238</f>
        <v>2046225.0366800008</v>
      </c>
      <c r="C239" s="296">
        <f t="shared" ref="C239:G239" si="144">C236+C237+C238</f>
        <v>2309441.7873673616</v>
      </c>
      <c r="D239" s="296">
        <f t="shared" si="144"/>
        <v>2669846.050236064</v>
      </c>
      <c r="E239" s="296">
        <f t="shared" si="144"/>
        <v>2998603.6012255237</v>
      </c>
      <c r="F239" s="296">
        <f t="shared" si="144"/>
        <v>3461750.5435761386</v>
      </c>
      <c r="G239" s="296">
        <f t="shared" si="144"/>
        <v>3973861.7698502303</v>
      </c>
    </row>
    <row r="240" spans="1:7" x14ac:dyDescent="0.35">
      <c r="A240" s="285" t="s">
        <v>343</v>
      </c>
      <c r="B240" s="291">
        <f t="shared" ref="B240:G240" si="145">B239/((SUM(B205:B216))/365)</f>
        <v>104.14899773176951</v>
      </c>
      <c r="C240" s="291">
        <f t="shared" si="145"/>
        <v>71.992630699121577</v>
      </c>
      <c r="D240" s="291">
        <f t="shared" si="145"/>
        <v>71.791023680774359</v>
      </c>
      <c r="E240" s="291">
        <f t="shared" si="145"/>
        <v>72.318842586583784</v>
      </c>
      <c r="F240" s="291">
        <f t="shared" si="145"/>
        <v>77.416724299181311</v>
      </c>
      <c r="G240" s="291">
        <f t="shared" si="145"/>
        <v>87.241969478898056</v>
      </c>
    </row>
    <row r="241" spans="1:9" x14ac:dyDescent="0.35">
      <c r="B241" s="109"/>
      <c r="C241" s="109"/>
      <c r="D241" s="109"/>
      <c r="E241" s="109"/>
      <c r="F241" s="109"/>
      <c r="G241" s="109"/>
    </row>
    <row r="242" spans="1:9" x14ac:dyDescent="0.35">
      <c r="B242" s="109"/>
      <c r="C242" s="121"/>
      <c r="D242" s="121"/>
      <c r="E242" s="121"/>
      <c r="F242" s="121"/>
      <c r="G242" s="121"/>
      <c r="I242" s="174" t="s">
        <v>354</v>
      </c>
    </row>
    <row r="243" spans="1:9" x14ac:dyDescent="0.35">
      <c r="A243" s="116" t="s">
        <v>344</v>
      </c>
      <c r="B243" s="121">
        <f t="shared" ref="B243:G243" si="146">B130/SUM(B205:B215)</f>
        <v>0.39456607770735891</v>
      </c>
      <c r="C243" s="121">
        <f t="shared" si="146"/>
        <v>0.40612656371600597</v>
      </c>
      <c r="D243" s="121">
        <f t="shared" si="146"/>
        <v>0.3891124471863685</v>
      </c>
      <c r="E243" s="121">
        <f t="shared" si="146"/>
        <v>0.38388698039354957</v>
      </c>
      <c r="F243" s="121">
        <f t="shared" si="146"/>
        <v>0.38341858127474704</v>
      </c>
      <c r="G243" s="121">
        <f t="shared" si="146"/>
        <v>0.38660202300868679</v>
      </c>
      <c r="I243" s="297">
        <f t="shared" ref="I243:I249" si="147">AVERAGE(B243:G243)</f>
        <v>0.39061877888111946</v>
      </c>
    </row>
    <row r="244" spans="1:9" x14ac:dyDescent="0.35">
      <c r="A244" s="116" t="s">
        <v>345</v>
      </c>
      <c r="B244" s="121">
        <f t="shared" ref="B244:G244" si="148">SUM(B131:B134)/SUM(B205:B215)</f>
        <v>0.19864448218353767</v>
      </c>
      <c r="C244" s="121">
        <f t="shared" si="148"/>
        <v>0.20278766893090194</v>
      </c>
      <c r="D244" s="121">
        <f t="shared" si="148"/>
        <v>0.19734253751724415</v>
      </c>
      <c r="E244" s="121">
        <f t="shared" si="148"/>
        <v>0.19564780290097342</v>
      </c>
      <c r="F244" s="121">
        <f t="shared" si="148"/>
        <v>0.19626985156840229</v>
      </c>
      <c r="G244" s="121">
        <f t="shared" si="148"/>
        <v>0.19878508508355552</v>
      </c>
      <c r="I244" s="297">
        <f t="shared" si="147"/>
        <v>0.19824623803076916</v>
      </c>
    </row>
    <row r="245" spans="1:9" x14ac:dyDescent="0.35">
      <c r="A245" s="116" t="s">
        <v>103</v>
      </c>
      <c r="B245" s="121">
        <f t="shared" ref="B245:G245" si="149">B156/SUM(B205:B215)</f>
        <v>1.8992666564961686E-3</v>
      </c>
      <c r="C245" s="121">
        <f t="shared" si="149"/>
        <v>1.9882506600218536E-3</v>
      </c>
      <c r="D245" s="121">
        <f t="shared" si="149"/>
        <v>1.8653260842167942E-3</v>
      </c>
      <c r="E245" s="121">
        <f t="shared" si="149"/>
        <v>1.7681766591001991E-3</v>
      </c>
      <c r="F245" s="121">
        <f t="shared" si="149"/>
        <v>1.7131024050639754E-3</v>
      </c>
      <c r="G245" s="121">
        <f t="shared" si="149"/>
        <v>1.6817328503678493E-3</v>
      </c>
      <c r="I245" s="297">
        <f t="shared" si="147"/>
        <v>1.8193092192111398E-3</v>
      </c>
    </row>
    <row r="246" spans="1:9" x14ac:dyDescent="0.35">
      <c r="A246" s="116" t="s">
        <v>346</v>
      </c>
      <c r="B246" s="121">
        <f>(B154+B155+B162+B163)/SUM(B205:B215)</f>
        <v>7.007402896836866E-2</v>
      </c>
      <c r="C246" s="121">
        <f t="shared" ref="C246:G246" si="150">(C154+C155+C162+C163)/SUM(C205:C215)</f>
        <v>4.7768490760630715E-2</v>
      </c>
      <c r="D246" s="121">
        <f t="shared" si="150"/>
        <v>6.6166440937271614E-2</v>
      </c>
      <c r="E246" s="121">
        <f t="shared" si="150"/>
        <v>6.4681614863241185E-2</v>
      </c>
      <c r="F246" s="121">
        <f t="shared" si="150"/>
        <v>6.4075911846062428E-2</v>
      </c>
      <c r="G246" s="121">
        <f t="shared" si="150"/>
        <v>6.3020000948350169E-2</v>
      </c>
      <c r="I246" s="297">
        <f t="shared" si="147"/>
        <v>6.2631081387320806E-2</v>
      </c>
    </row>
    <row r="247" spans="1:9" x14ac:dyDescent="0.35">
      <c r="A247" s="116" t="s">
        <v>347</v>
      </c>
      <c r="B247" s="121">
        <f t="shared" ref="B247:G247" si="151">(B153+B152+B136)/SUM(B205:B215)</f>
        <v>4.5170334192769557E-2</v>
      </c>
      <c r="C247" s="121">
        <f t="shared" si="151"/>
        <v>4.022705942340607E-2</v>
      </c>
      <c r="D247" s="121">
        <f t="shared" si="151"/>
        <v>4.0520009985818374E-2</v>
      </c>
      <c r="E247" s="121">
        <f t="shared" si="151"/>
        <v>4.007305453392352E-2</v>
      </c>
      <c r="F247" s="121">
        <f t="shared" si="151"/>
        <v>4.0083440886012733E-2</v>
      </c>
      <c r="G247" s="121">
        <f t="shared" si="151"/>
        <v>3.9875785049415927E-2</v>
      </c>
      <c r="I247" s="297">
        <f t="shared" si="147"/>
        <v>4.0991614011891025E-2</v>
      </c>
    </row>
    <row r="248" spans="1:9" x14ac:dyDescent="0.35">
      <c r="A248" s="116" t="s">
        <v>348</v>
      </c>
      <c r="B248" s="121">
        <f>(B172+B142+B143)/SUM(B205:B215)</f>
        <v>3.4750165256890252E-2</v>
      </c>
      <c r="C248" s="121">
        <f t="shared" ref="C248:G248" si="152">(C172+C142+C143)/SUM(C205:C215)</f>
        <v>2.3755666713276571E-2</v>
      </c>
      <c r="D248" s="121">
        <f t="shared" si="152"/>
        <v>2.6569404169712627E-2</v>
      </c>
      <c r="E248" s="121">
        <f t="shared" si="152"/>
        <v>2.7001960554855486E-2</v>
      </c>
      <c r="F248" s="121">
        <f t="shared" si="152"/>
        <v>2.6686877145220722E-2</v>
      </c>
      <c r="G248" s="121">
        <f t="shared" si="152"/>
        <v>2.1987852240822222E-2</v>
      </c>
      <c r="I248" s="297">
        <f t="shared" si="147"/>
        <v>2.6791987680129647E-2</v>
      </c>
    </row>
    <row r="249" spans="1:9" x14ac:dyDescent="0.35">
      <c r="A249" s="116" t="s">
        <v>87</v>
      </c>
      <c r="B249" s="121">
        <f t="shared" ref="B249:G249" si="153">(B140+B144+B145+B146+B147+B148)/SUM(B205:B215)</f>
        <v>2.743373549920209E-2</v>
      </c>
      <c r="C249" s="121">
        <f t="shared" si="153"/>
        <v>2.4244352762099262E-2</v>
      </c>
      <c r="D249" s="121">
        <f t="shared" si="153"/>
        <v>2.6001880918691662E-2</v>
      </c>
      <c r="E249" s="121">
        <f t="shared" si="153"/>
        <v>2.6712783719905854E-2</v>
      </c>
      <c r="F249" s="121">
        <f t="shared" si="153"/>
        <v>2.6496165223470137E-2</v>
      </c>
      <c r="G249" s="121">
        <f t="shared" si="153"/>
        <v>2.7367408875302875E-2</v>
      </c>
      <c r="I249" s="297">
        <f t="shared" si="147"/>
        <v>2.6376054499778645E-2</v>
      </c>
    </row>
    <row r="250" spans="1:9" x14ac:dyDescent="0.35">
      <c r="A250" s="116" t="s">
        <v>183</v>
      </c>
      <c r="B250" s="121">
        <f>(B179)/SUM(B205:B215)</f>
        <v>5.9055758371962357E-3</v>
      </c>
      <c r="C250" s="121">
        <f>(C179)/SUM(C205:C215)</f>
        <v>5.8722487889199572E-3</v>
      </c>
      <c r="D250" s="121">
        <f t="shared" ref="D250:G250" si="154">(D179)/SUM(D205:D215)</f>
        <v>6.5806464018115778E-3</v>
      </c>
      <c r="E250" s="121">
        <f t="shared" si="154"/>
        <v>6.090891969199025E-3</v>
      </c>
      <c r="F250" s="121">
        <f t="shared" si="154"/>
        <v>5.9867810521443765E-3</v>
      </c>
      <c r="G250" s="121">
        <f t="shared" si="154"/>
        <v>6.0701052458036813E-3</v>
      </c>
      <c r="I250" s="297">
        <f t="shared" ref="I250:I252" si="155">AVERAGE(B250:G250)</f>
        <v>6.0843748825124755E-3</v>
      </c>
    </row>
    <row r="251" spans="1:9" x14ac:dyDescent="0.35">
      <c r="A251" s="116" t="s">
        <v>349</v>
      </c>
      <c r="B251" s="121">
        <f>(B203+B207+B208)/SUM(B205:B215)</f>
        <v>0.18480885318950416</v>
      </c>
      <c r="C251" s="121">
        <f>(C203+C207+C208)/SUM(C205:C215)</f>
        <v>0.19293741459069103</v>
      </c>
      <c r="D251" s="121">
        <f t="shared" ref="D251:G251" si="156">(D203+D207+D208)/SUM(D205:D215)</f>
        <v>0.19238196187860979</v>
      </c>
      <c r="E251" s="121">
        <f t="shared" si="156"/>
        <v>0.2006927061914876</v>
      </c>
      <c r="F251" s="121">
        <f t="shared" si="156"/>
        <v>0.20179561062997564</v>
      </c>
      <c r="G251" s="121">
        <f t="shared" si="156"/>
        <v>0.20149682864797983</v>
      </c>
      <c r="I251" s="297">
        <f t="shared" si="155"/>
        <v>0.19568556252137467</v>
      </c>
    </row>
    <row r="252" spans="1:9" x14ac:dyDescent="0.35">
      <c r="A252" s="116" t="s">
        <v>155</v>
      </c>
      <c r="B252" s="121">
        <f t="shared" ref="B252:G252" si="157">(B181)/SUM(B205:B215)</f>
        <v>6.0344578831898763E-3</v>
      </c>
      <c r="C252" s="121">
        <f t="shared" si="157"/>
        <v>2.2471605243203702E-2</v>
      </c>
      <c r="D252" s="121">
        <f t="shared" si="157"/>
        <v>2.383264960267658E-2</v>
      </c>
      <c r="E252" s="121">
        <f t="shared" si="157"/>
        <v>2.5216868603351338E-2</v>
      </c>
      <c r="F252" s="121">
        <f t="shared" si="157"/>
        <v>2.5881056076070174E-2</v>
      </c>
      <c r="G252" s="121">
        <f t="shared" si="157"/>
        <v>2.6000215403941738E-2</v>
      </c>
      <c r="I252" s="297">
        <f t="shared" si="155"/>
        <v>2.1572808802072237E-2</v>
      </c>
    </row>
    <row r="253" spans="1:9" x14ac:dyDescent="0.35">
      <c r="A253" s="116" t="s">
        <v>350</v>
      </c>
      <c r="B253" s="121">
        <f t="shared" ref="B253:G253" si="158">(B149)/SUM(B205:B215)</f>
        <v>0</v>
      </c>
      <c r="C253" s="121">
        <f t="shared" si="158"/>
        <v>0</v>
      </c>
      <c r="D253" s="121">
        <f t="shared" si="158"/>
        <v>0</v>
      </c>
      <c r="E253" s="121">
        <f t="shared" si="158"/>
        <v>0</v>
      </c>
      <c r="F253" s="121">
        <f t="shared" si="158"/>
        <v>0</v>
      </c>
      <c r="G253" s="121">
        <f t="shared" si="158"/>
        <v>0</v>
      </c>
      <c r="I253" s="297">
        <f>AVERAGE(B253:G253)</f>
        <v>0</v>
      </c>
    </row>
    <row r="254" spans="1:9" x14ac:dyDescent="0.35">
      <c r="A254" s="116" t="s">
        <v>351</v>
      </c>
      <c r="B254" s="121">
        <f t="shared" ref="B254:G254" si="159">B183/SUM(B205:B215)</f>
        <v>1.7430861384876731E-4</v>
      </c>
      <c r="C254" s="121">
        <f t="shared" si="159"/>
        <v>2.1351489046626435E-4</v>
      </c>
      <c r="D254" s="121">
        <f t="shared" si="159"/>
        <v>1.841751662931274E-4</v>
      </c>
      <c r="E254" s="121">
        <f t="shared" si="159"/>
        <v>1.6518840238230559E-4</v>
      </c>
      <c r="F254" s="121">
        <f t="shared" si="159"/>
        <v>1.5317439244134259E-4</v>
      </c>
      <c r="G254" s="121">
        <f t="shared" si="159"/>
        <v>1.5036953240055878E-4</v>
      </c>
      <c r="I254" s="297">
        <f>AVERAGE(B254:G254)</f>
        <v>1.7345516630539433E-4</v>
      </c>
    </row>
    <row r="255" spans="1:9" x14ac:dyDescent="0.35">
      <c r="A255" s="116" t="s">
        <v>352</v>
      </c>
      <c r="B255" s="121">
        <f t="shared" ref="B255:G255" si="160">(B157+B158)/SUM(B205:B215)</f>
        <v>4.7411942966864703E-3</v>
      </c>
      <c r="C255" s="121">
        <f t="shared" si="160"/>
        <v>3.4465573619064391E-3</v>
      </c>
      <c r="D255" s="121">
        <f t="shared" si="160"/>
        <v>3.0378330783820797E-3</v>
      </c>
      <c r="E255" s="121">
        <f t="shared" si="160"/>
        <v>2.7246604578783683E-3</v>
      </c>
      <c r="F255" s="121">
        <f t="shared" si="160"/>
        <v>2.5882011577930222E-3</v>
      </c>
      <c r="G255" s="121">
        <f t="shared" si="160"/>
        <v>2.6030169667399699E-3</v>
      </c>
      <c r="I255" s="297">
        <f>AVERAGE(B255:G255)</f>
        <v>3.1902438865643915E-3</v>
      </c>
    </row>
    <row r="256" spans="1:9" x14ac:dyDescent="0.35">
      <c r="A256" s="116" t="s">
        <v>353</v>
      </c>
      <c r="B256" s="121">
        <f t="shared" ref="B256:G256" si="161">(B159+B160+B167+B168+B169+B171+B173)/SUM(B205:B215)</f>
        <v>1.068442079447404E-2</v>
      </c>
      <c r="C256" s="121">
        <f t="shared" si="161"/>
        <v>1.2574979971440123E-2</v>
      </c>
      <c r="D256" s="121">
        <f t="shared" si="161"/>
        <v>1.1636092119354114E-2</v>
      </c>
      <c r="E256" s="121">
        <f t="shared" si="161"/>
        <v>1.0914156305121103E-2</v>
      </c>
      <c r="F256" s="121">
        <f t="shared" si="161"/>
        <v>1.0564670759592231E-2</v>
      </c>
      <c r="G256" s="121">
        <f t="shared" si="161"/>
        <v>1.018783716644728E-2</v>
      </c>
      <c r="I256" s="297">
        <f>AVERAGE(B256:G256)</f>
        <v>1.1093692852738148E-2</v>
      </c>
    </row>
    <row r="257" spans="1:9" x14ac:dyDescent="0.35">
      <c r="A257" s="116" t="s">
        <v>125</v>
      </c>
      <c r="B257" s="121">
        <f t="shared" ref="B257:G257" si="162">(B161+B170+B182+B184+B185+B187+B189+B135+B188)/SUM(B205:B215)</f>
        <v>1.5113098920477195E-2</v>
      </c>
      <c r="C257" s="121">
        <f t="shared" si="162"/>
        <v>1.55856261870302E-2</v>
      </c>
      <c r="D257" s="121">
        <f t="shared" si="162"/>
        <v>1.4768594953549222E-2</v>
      </c>
      <c r="E257" s="121">
        <f t="shared" si="162"/>
        <v>1.4423154445031108E-2</v>
      </c>
      <c r="F257" s="121">
        <f t="shared" si="162"/>
        <v>1.4286575583004023E-2</v>
      </c>
      <c r="G257" s="121">
        <f t="shared" si="162"/>
        <v>1.4171738980185655E-2</v>
      </c>
      <c r="I257" s="297">
        <f>AVERAGE(B257:G257)</f>
        <v>1.4724798178212902E-2</v>
      </c>
    </row>
    <row r="259" spans="1:9" x14ac:dyDescent="0.35">
      <c r="B259" s="297">
        <f>SUM(B243:B258)</f>
        <v>1.0000000000000002</v>
      </c>
      <c r="C259" s="297">
        <f>SUM(C243:C258)</f>
        <v>1.0000000000000002</v>
      </c>
      <c r="D259" s="297">
        <f>SUM(D243:D258)</f>
        <v>1.0000000000000004</v>
      </c>
      <c r="E259" s="297">
        <f t="shared" ref="E259:G259" si="163">SUM(E243:E258)</f>
        <v>1</v>
      </c>
      <c r="F259" s="297">
        <f t="shared" si="163"/>
        <v>0.99999999999999989</v>
      </c>
      <c r="G259" s="297">
        <f t="shared" si="163"/>
        <v>1</v>
      </c>
      <c r="I259" s="297">
        <f t="shared" ref="I259" si="164">SUM(I243:I258)</f>
        <v>1.0000000000000002</v>
      </c>
    </row>
  </sheetData>
  <pageMargins left="0.7" right="0.7" top="0.75" bottom="0.75" header="0.3" footer="0.3"/>
  <pageSetup scale="55" orientation="portrait" horizontalDpi="100" verticalDpi="100" r:id="rId1"/>
  <rowBreaks count="2" manualBreakCount="2">
    <brk id="72" max="6" man="1"/>
    <brk id="15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12</vt:i4>
      </vt:variant>
    </vt:vector>
  </HeadingPairs>
  <TitlesOfParts>
    <vt:vector size="31" baseType="lpstr">
      <vt:lpstr>FY23</vt:lpstr>
      <vt:lpstr>FY24</vt:lpstr>
      <vt:lpstr>FY25</vt:lpstr>
      <vt:lpstr>FY26</vt:lpstr>
      <vt:lpstr>FY27</vt:lpstr>
      <vt:lpstr>FY28</vt:lpstr>
      <vt:lpstr>5-Year New Campus</vt:lpstr>
      <vt:lpstr>5-Year DANN</vt:lpstr>
      <vt:lpstr>5-Year DANN System</vt:lpstr>
      <vt:lpstr>Funding</vt:lpstr>
      <vt:lpstr>Capital Lease</vt:lpstr>
      <vt:lpstr>Mt. Rose Bond</vt:lpstr>
      <vt:lpstr>Enrollment Tables - New Campus</vt:lpstr>
      <vt:lpstr>Enrollment Tables - System</vt:lpstr>
      <vt:lpstr>Staffing Tables</vt:lpstr>
      <vt:lpstr>Staffing Narrative</vt:lpstr>
      <vt:lpstr>Cash Flow - New Facility FY24</vt:lpstr>
      <vt:lpstr>Cash Flow - System FY23</vt:lpstr>
      <vt:lpstr>Assumptions</vt:lpstr>
      <vt:lpstr>'Staffing Tables'!_Toc4075975</vt:lpstr>
      <vt:lpstr>'Enrollment Tables - New Campus'!_Toc4075978</vt:lpstr>
      <vt:lpstr>'Enrollment Tables - System'!_Toc4075978</vt:lpstr>
      <vt:lpstr>'5-Year DANN'!Print_Area</vt:lpstr>
      <vt:lpstr>'5-Year DANN System'!Print_Area</vt:lpstr>
      <vt:lpstr>'5-Year New Campus'!Print_Area</vt:lpstr>
      <vt:lpstr>'Cash Flow - New Facility FY24'!Print_Area</vt:lpstr>
      <vt:lpstr>'Cash Flow - System FY23'!Print_Area</vt:lpstr>
      <vt:lpstr>'Enrollment Tables - New Campus'!Print_Area</vt:lpstr>
      <vt:lpstr>'Enrollment Tables - System'!Print_Area</vt:lpstr>
      <vt:lpstr>'FY23'!Print_Area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cp:lastPrinted>2022-04-27T15:29:05Z</cp:lastPrinted>
  <dcterms:created xsi:type="dcterms:W3CDTF">2020-09-28T15:57:05Z</dcterms:created>
  <dcterms:modified xsi:type="dcterms:W3CDTF">2022-04-27T17:12:38Z</dcterms:modified>
</cp:coreProperties>
</file>